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CAF71263-A726-C54D-82B6-D7FA03B4D4F3}" xr6:coauthVersionLast="47" xr6:coauthVersionMax="47" xr10:uidLastSave="{00000000-0000-0000-0000-000000000000}"/>
  <bookViews>
    <workbookView xWindow="-48040" yWindow="3420" windowWidth="34560" windowHeight="20260" xr2:uid="{00000000-000D-0000-FFFF-FFFF00000000}"/>
  </bookViews>
  <sheets>
    <sheet name="Entities" sheetId="1" r:id="rId1"/>
    <sheet name="Attributes" sheetId="2" r:id="rId2"/>
    <sheet name="HCP Type Items" sheetId="3" r:id="rId3"/>
    <sheet name="Specialty Items" sheetId="4" r:id="rId4"/>
    <sheet name="Specialty Group Items" sheetId="5" r:id="rId5"/>
    <sheet name="Medical Degree Items" sheetId="6" r:id="rId6"/>
    <sheet name="HCP Status Items" sheetId="7" r:id="rId7"/>
    <sheet name="Level Items" sheetId="8" r:id="rId8"/>
    <sheet name="Adopter Type Items" sheetId="9" r:id="rId9"/>
    <sheet name="Address Status Items" sheetId="10" r:id="rId10"/>
    <sheet name="License"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1" l="1"/>
  <c r="J5" i="10"/>
  <c r="I5" i="10"/>
  <c r="H5" i="10"/>
  <c r="G5" i="10"/>
  <c r="F5" i="10"/>
  <c r="E5" i="10"/>
  <c r="D5" i="10"/>
  <c r="C5" i="10"/>
  <c r="B5" i="10"/>
  <c r="A5" i="10"/>
  <c r="J4" i="10"/>
  <c r="I4" i="10"/>
  <c r="H4" i="10"/>
  <c r="G4" i="10"/>
  <c r="F4" i="10"/>
  <c r="E4" i="10"/>
  <c r="D4" i="10"/>
  <c r="C4" i="10"/>
  <c r="B4" i="10"/>
  <c r="A4" i="10"/>
  <c r="A1" i="10"/>
  <c r="J8" i="9"/>
  <c r="I8" i="9"/>
  <c r="H8" i="9"/>
  <c r="G8" i="9"/>
  <c r="F8" i="9"/>
  <c r="E8" i="9"/>
  <c r="D8" i="9"/>
  <c r="C8" i="9"/>
  <c r="B8" i="9"/>
  <c r="A8" i="9"/>
  <c r="J7" i="9"/>
  <c r="I7" i="9"/>
  <c r="H7" i="9"/>
  <c r="G7" i="9"/>
  <c r="F7" i="9"/>
  <c r="E7" i="9"/>
  <c r="D7" i="9"/>
  <c r="C7" i="9"/>
  <c r="B7" i="9"/>
  <c r="A7" i="9"/>
  <c r="J6" i="9"/>
  <c r="I6" i="9"/>
  <c r="H6" i="9"/>
  <c r="G6" i="9"/>
  <c r="F6" i="9"/>
  <c r="E6" i="9"/>
  <c r="D6" i="9"/>
  <c r="C6" i="9"/>
  <c r="B6" i="9"/>
  <c r="A6" i="9"/>
  <c r="J5" i="9"/>
  <c r="I5" i="9"/>
  <c r="H5" i="9"/>
  <c r="G5" i="9"/>
  <c r="F5" i="9"/>
  <c r="E5" i="9"/>
  <c r="D5" i="9"/>
  <c r="C5" i="9"/>
  <c r="B5" i="9"/>
  <c r="A5" i="9"/>
  <c r="A1" i="9"/>
  <c r="J8" i="8"/>
  <c r="I8" i="8"/>
  <c r="H8" i="8"/>
  <c r="G8" i="8"/>
  <c r="F8" i="8"/>
  <c r="E8" i="8"/>
  <c r="D8" i="8"/>
  <c r="C8" i="8"/>
  <c r="A8" i="8"/>
  <c r="J7" i="8"/>
  <c r="I7" i="8"/>
  <c r="H7" i="8"/>
  <c r="G7" i="8"/>
  <c r="F7" i="8"/>
  <c r="E7" i="8"/>
  <c r="D7" i="8"/>
  <c r="C7" i="8"/>
  <c r="A7" i="8"/>
  <c r="J6" i="8"/>
  <c r="I6" i="8"/>
  <c r="H6" i="8"/>
  <c r="G6" i="8"/>
  <c r="F6" i="8"/>
  <c r="E6" i="8"/>
  <c r="D6" i="8"/>
  <c r="C6" i="8"/>
  <c r="A6" i="8"/>
  <c r="J5" i="8"/>
  <c r="I5" i="8"/>
  <c r="H5" i="8"/>
  <c r="G5" i="8"/>
  <c r="F5" i="8"/>
  <c r="E5" i="8"/>
  <c r="D5" i="8"/>
  <c r="C5" i="8"/>
  <c r="A5" i="8"/>
  <c r="J4" i="8"/>
  <c r="I4" i="8"/>
  <c r="H4" i="8"/>
  <c r="G4" i="8"/>
  <c r="F4" i="8"/>
  <c r="E4" i="8"/>
  <c r="D4" i="8"/>
  <c r="C4" i="8"/>
  <c r="A4" i="8"/>
  <c r="A1" i="8"/>
  <c r="J5" i="7"/>
  <c r="I5" i="7"/>
  <c r="H5" i="7"/>
  <c r="G5" i="7"/>
  <c r="F5" i="7"/>
  <c r="E5" i="7"/>
  <c r="D5" i="7"/>
  <c r="C5" i="7"/>
  <c r="B5" i="7"/>
  <c r="A5" i="7"/>
  <c r="J4" i="7"/>
  <c r="I4" i="7"/>
  <c r="H4" i="7"/>
  <c r="G4" i="7"/>
  <c r="F4" i="7"/>
  <c r="E4" i="7"/>
  <c r="D4" i="7"/>
  <c r="C4" i="7"/>
  <c r="B4" i="7"/>
  <c r="A4" i="7"/>
  <c r="A1" i="7"/>
  <c r="J14" i="6"/>
  <c r="I14" i="6"/>
  <c r="H14" i="6"/>
  <c r="G14" i="6"/>
  <c r="F14" i="6"/>
  <c r="E14" i="6"/>
  <c r="D14" i="6"/>
  <c r="C14" i="6"/>
  <c r="B14" i="6"/>
  <c r="A14" i="6"/>
  <c r="J13" i="6"/>
  <c r="I13" i="6"/>
  <c r="H13" i="6"/>
  <c r="G13" i="6"/>
  <c r="F13" i="6"/>
  <c r="E13" i="6"/>
  <c r="D13" i="6"/>
  <c r="C13" i="6"/>
  <c r="B13" i="6"/>
  <c r="A13" i="6"/>
  <c r="J12" i="6"/>
  <c r="I12" i="6"/>
  <c r="H12" i="6"/>
  <c r="G12" i="6"/>
  <c r="F12" i="6"/>
  <c r="E12" i="6"/>
  <c r="D12" i="6"/>
  <c r="C12" i="6"/>
  <c r="B12" i="6"/>
  <c r="A12" i="6"/>
  <c r="J11" i="6"/>
  <c r="I11" i="6"/>
  <c r="H11" i="6"/>
  <c r="G11" i="6"/>
  <c r="F11" i="6"/>
  <c r="E11" i="6"/>
  <c r="D11" i="6"/>
  <c r="C11" i="6"/>
  <c r="B11" i="6"/>
  <c r="A11" i="6"/>
  <c r="J10" i="6"/>
  <c r="I10" i="6"/>
  <c r="H10" i="6"/>
  <c r="G10" i="6"/>
  <c r="F10" i="6"/>
  <c r="E10" i="6"/>
  <c r="D10" i="6"/>
  <c r="C10" i="6"/>
  <c r="B10" i="6"/>
  <c r="A10" i="6"/>
  <c r="J9" i="6"/>
  <c r="I9" i="6"/>
  <c r="H9" i="6"/>
  <c r="G9" i="6"/>
  <c r="F9" i="6"/>
  <c r="E9" i="6"/>
  <c r="D9" i="6"/>
  <c r="C9" i="6"/>
  <c r="B9" i="6"/>
  <c r="A9" i="6"/>
  <c r="J8" i="6"/>
  <c r="I8" i="6"/>
  <c r="H8" i="6"/>
  <c r="G8" i="6"/>
  <c r="F8" i="6"/>
  <c r="E8" i="6"/>
  <c r="D8" i="6"/>
  <c r="C8" i="6"/>
  <c r="B8" i="6"/>
  <c r="A8" i="6"/>
  <c r="J7" i="6"/>
  <c r="I7" i="6"/>
  <c r="H7" i="6"/>
  <c r="G7" i="6"/>
  <c r="F7" i="6"/>
  <c r="E7" i="6"/>
  <c r="D7" i="6"/>
  <c r="C7" i="6"/>
  <c r="B7" i="6"/>
  <c r="A7" i="6"/>
  <c r="J6" i="6"/>
  <c r="I6" i="6"/>
  <c r="H6" i="6"/>
  <c r="G6" i="6"/>
  <c r="F6" i="6"/>
  <c r="E6" i="6"/>
  <c r="D6" i="6"/>
  <c r="C6" i="6"/>
  <c r="B6" i="6"/>
  <c r="A6" i="6"/>
  <c r="I5" i="6"/>
  <c r="H5" i="6"/>
  <c r="G5" i="6"/>
  <c r="B5" i="6"/>
  <c r="A5" i="6"/>
  <c r="J4" i="6"/>
  <c r="I4" i="6"/>
  <c r="H4" i="6"/>
  <c r="G4" i="6"/>
  <c r="F4" i="6"/>
  <c r="B4" i="6"/>
  <c r="A4" i="6"/>
  <c r="C4" i="6" s="1"/>
  <c r="A1" i="6"/>
  <c r="B44" i="5"/>
  <c r="A44" i="5"/>
  <c r="J43" i="5"/>
  <c r="I43" i="5"/>
  <c r="H43" i="5"/>
  <c r="G43" i="5"/>
  <c r="F43" i="5"/>
  <c r="E43" i="5"/>
  <c r="D43" i="5"/>
  <c r="C43" i="5"/>
  <c r="B43" i="5"/>
  <c r="A43" i="5"/>
  <c r="J42" i="5"/>
  <c r="I42" i="5"/>
  <c r="H42" i="5"/>
  <c r="G42" i="5"/>
  <c r="F42" i="5"/>
  <c r="E42" i="5"/>
  <c r="D42" i="5"/>
  <c r="C42" i="5"/>
  <c r="B42" i="5"/>
  <c r="A42" i="5"/>
  <c r="J41" i="5"/>
  <c r="I41" i="5"/>
  <c r="H41" i="5"/>
  <c r="G41" i="5"/>
  <c r="F41" i="5"/>
  <c r="E41" i="5"/>
  <c r="D41" i="5"/>
  <c r="C41" i="5"/>
  <c r="B41" i="5"/>
  <c r="A41" i="5"/>
  <c r="J40" i="5"/>
  <c r="I40" i="5"/>
  <c r="H40" i="5"/>
  <c r="G40" i="5"/>
  <c r="F40" i="5"/>
  <c r="E40" i="5"/>
  <c r="D40" i="5"/>
  <c r="C40" i="5"/>
  <c r="B40" i="5"/>
  <c r="A40" i="5"/>
  <c r="J39" i="5"/>
  <c r="I39" i="5"/>
  <c r="H39" i="5"/>
  <c r="G39" i="5"/>
  <c r="F39" i="5"/>
  <c r="E39" i="5"/>
  <c r="D39" i="5"/>
  <c r="C39" i="5"/>
  <c r="B39" i="5"/>
  <c r="A39" i="5"/>
  <c r="J38" i="5"/>
  <c r="I38" i="5"/>
  <c r="H38" i="5"/>
  <c r="G38" i="5"/>
  <c r="F38" i="5"/>
  <c r="E38" i="5"/>
  <c r="D38" i="5"/>
  <c r="C38" i="5"/>
  <c r="B38" i="5"/>
  <c r="A38" i="5"/>
  <c r="J37" i="5"/>
  <c r="I37" i="5"/>
  <c r="H37" i="5"/>
  <c r="G37" i="5"/>
  <c r="F37" i="5"/>
  <c r="E37" i="5"/>
  <c r="D37" i="5"/>
  <c r="C37" i="5"/>
  <c r="B37" i="5"/>
  <c r="A37" i="5"/>
  <c r="J36" i="5"/>
  <c r="I36" i="5"/>
  <c r="H36" i="5"/>
  <c r="G36" i="5"/>
  <c r="F36" i="5"/>
  <c r="E36" i="5"/>
  <c r="D36" i="5"/>
  <c r="C36" i="5"/>
  <c r="B36" i="5"/>
  <c r="A36" i="5"/>
  <c r="J35" i="5"/>
  <c r="I35" i="5"/>
  <c r="H35" i="5"/>
  <c r="G35" i="5"/>
  <c r="F35" i="5"/>
  <c r="E35" i="5"/>
  <c r="D35" i="5"/>
  <c r="C35" i="5"/>
  <c r="B35" i="5"/>
  <c r="A35" i="5"/>
  <c r="J34" i="5"/>
  <c r="I34" i="5"/>
  <c r="H34" i="5"/>
  <c r="G34" i="5"/>
  <c r="F34" i="5"/>
  <c r="E34" i="5"/>
  <c r="D34" i="5"/>
  <c r="C34" i="5"/>
  <c r="B34" i="5"/>
  <c r="A34" i="5"/>
  <c r="J33" i="5"/>
  <c r="I33" i="5"/>
  <c r="H33" i="5"/>
  <c r="G33" i="5"/>
  <c r="F33" i="5"/>
  <c r="E33" i="5"/>
  <c r="D33" i="5"/>
  <c r="C33" i="5"/>
  <c r="B33" i="5"/>
  <c r="A33" i="5"/>
  <c r="J32" i="5"/>
  <c r="I32" i="5"/>
  <c r="H32" i="5"/>
  <c r="G32" i="5"/>
  <c r="F32" i="5"/>
  <c r="E32" i="5"/>
  <c r="D32" i="5"/>
  <c r="C32" i="5"/>
  <c r="B32" i="5"/>
  <c r="A32" i="5"/>
  <c r="J31" i="5"/>
  <c r="I31" i="5"/>
  <c r="H31" i="5"/>
  <c r="G31" i="5"/>
  <c r="F31" i="5"/>
  <c r="E31" i="5"/>
  <c r="D31" i="5"/>
  <c r="C31" i="5"/>
  <c r="B31" i="5"/>
  <c r="A31" i="5"/>
  <c r="J30" i="5"/>
  <c r="I30" i="5"/>
  <c r="H30" i="5"/>
  <c r="G30" i="5"/>
  <c r="F30" i="5"/>
  <c r="E30" i="5"/>
  <c r="D30" i="5"/>
  <c r="C30" i="5"/>
  <c r="B30" i="5"/>
  <c r="A30" i="5"/>
  <c r="J29" i="5"/>
  <c r="I29" i="5"/>
  <c r="H29" i="5"/>
  <c r="G29" i="5"/>
  <c r="F29" i="5"/>
  <c r="E29" i="5"/>
  <c r="D29" i="5"/>
  <c r="C29" i="5"/>
  <c r="B29" i="5"/>
  <c r="A29" i="5"/>
  <c r="J28" i="5"/>
  <c r="I28" i="5"/>
  <c r="H28" i="5"/>
  <c r="G28" i="5"/>
  <c r="F28" i="5"/>
  <c r="E28" i="5"/>
  <c r="D28" i="5"/>
  <c r="C28" i="5"/>
  <c r="B28" i="5"/>
  <c r="A28" i="5"/>
  <c r="J27" i="5"/>
  <c r="I27" i="5"/>
  <c r="H27" i="5"/>
  <c r="G27" i="5"/>
  <c r="F27" i="5"/>
  <c r="E27" i="5"/>
  <c r="D27" i="5"/>
  <c r="C27" i="5"/>
  <c r="B27" i="5"/>
  <c r="A27" i="5"/>
  <c r="J26" i="5"/>
  <c r="I26" i="5"/>
  <c r="H26" i="5"/>
  <c r="G26" i="5"/>
  <c r="F26" i="5"/>
  <c r="E26" i="5"/>
  <c r="D26" i="5"/>
  <c r="C26" i="5"/>
  <c r="B26" i="5"/>
  <c r="A26" i="5"/>
  <c r="J25" i="5"/>
  <c r="I25" i="5"/>
  <c r="H25" i="5"/>
  <c r="G25" i="5"/>
  <c r="F25" i="5"/>
  <c r="E25" i="5"/>
  <c r="D25" i="5"/>
  <c r="C25" i="5"/>
  <c r="B25" i="5"/>
  <c r="A25" i="5"/>
  <c r="J24" i="5"/>
  <c r="I24" i="5"/>
  <c r="H24" i="5"/>
  <c r="G24" i="5"/>
  <c r="F24" i="5"/>
  <c r="E24" i="5"/>
  <c r="D24" i="5"/>
  <c r="C24" i="5"/>
  <c r="B24" i="5"/>
  <c r="A24" i="5"/>
  <c r="J23" i="5"/>
  <c r="I23" i="5"/>
  <c r="H23" i="5"/>
  <c r="G23" i="5"/>
  <c r="F23" i="5"/>
  <c r="E23" i="5"/>
  <c r="D23" i="5"/>
  <c r="C23" i="5"/>
  <c r="B23" i="5"/>
  <c r="A23" i="5"/>
  <c r="J22" i="5"/>
  <c r="I22" i="5"/>
  <c r="H22" i="5"/>
  <c r="G22" i="5"/>
  <c r="F22" i="5"/>
  <c r="E22" i="5"/>
  <c r="D22" i="5"/>
  <c r="C22" i="5"/>
  <c r="B22" i="5"/>
  <c r="A22" i="5"/>
  <c r="J21" i="5"/>
  <c r="I21" i="5"/>
  <c r="H21" i="5"/>
  <c r="G21" i="5"/>
  <c r="F21" i="5"/>
  <c r="E21" i="5"/>
  <c r="D21" i="5"/>
  <c r="C21" i="5"/>
  <c r="B21" i="5"/>
  <c r="A21" i="5"/>
  <c r="J20" i="5"/>
  <c r="I20" i="5"/>
  <c r="H20" i="5"/>
  <c r="G20" i="5"/>
  <c r="F20" i="5"/>
  <c r="E20" i="5"/>
  <c r="D20" i="5"/>
  <c r="C20" i="5"/>
  <c r="B20" i="5"/>
  <c r="A20" i="5"/>
  <c r="J19" i="5"/>
  <c r="I19" i="5"/>
  <c r="H19" i="5"/>
  <c r="G19" i="5"/>
  <c r="F19" i="5"/>
  <c r="E19" i="5"/>
  <c r="D19" i="5"/>
  <c r="C19" i="5"/>
  <c r="B19" i="5"/>
  <c r="A19" i="5"/>
  <c r="J18" i="5"/>
  <c r="I18" i="5"/>
  <c r="H18" i="5"/>
  <c r="G18" i="5"/>
  <c r="F18" i="5"/>
  <c r="E18" i="5"/>
  <c r="D18" i="5"/>
  <c r="C18" i="5"/>
  <c r="B18" i="5"/>
  <c r="A18" i="5"/>
  <c r="J17" i="5"/>
  <c r="I17" i="5"/>
  <c r="H17" i="5"/>
  <c r="G17" i="5"/>
  <c r="F17" i="5"/>
  <c r="E17" i="5"/>
  <c r="D17" i="5"/>
  <c r="C17" i="5"/>
  <c r="B17" i="5"/>
  <c r="A17" i="5"/>
  <c r="J16" i="5"/>
  <c r="I16" i="5"/>
  <c r="H16" i="5"/>
  <c r="G16" i="5"/>
  <c r="F16" i="5"/>
  <c r="E16" i="5"/>
  <c r="D16" i="5"/>
  <c r="C16" i="5"/>
  <c r="B16" i="5"/>
  <c r="A16" i="5"/>
  <c r="J15" i="5"/>
  <c r="I15" i="5"/>
  <c r="H15" i="5"/>
  <c r="G15" i="5"/>
  <c r="F15" i="5"/>
  <c r="E15" i="5"/>
  <c r="D15" i="5"/>
  <c r="C15" i="5"/>
  <c r="B15" i="5"/>
  <c r="A15" i="5"/>
  <c r="J14" i="5"/>
  <c r="I14" i="5"/>
  <c r="H14" i="5"/>
  <c r="G14" i="5"/>
  <c r="F14" i="5"/>
  <c r="E14" i="5"/>
  <c r="D14" i="5"/>
  <c r="C14" i="5"/>
  <c r="B14" i="5"/>
  <c r="A14" i="5"/>
  <c r="J13" i="5"/>
  <c r="I13" i="5"/>
  <c r="H13" i="5"/>
  <c r="G13" i="5"/>
  <c r="F13" i="5"/>
  <c r="E13" i="5"/>
  <c r="D13" i="5"/>
  <c r="C13" i="5"/>
  <c r="B13" i="5"/>
  <c r="A13" i="5"/>
  <c r="J12" i="5"/>
  <c r="I12" i="5"/>
  <c r="H12" i="5"/>
  <c r="G12" i="5"/>
  <c r="F12" i="5"/>
  <c r="E12" i="5"/>
  <c r="D12" i="5"/>
  <c r="C12" i="5"/>
  <c r="B12" i="5"/>
  <c r="A12" i="5"/>
  <c r="J11" i="5"/>
  <c r="I11" i="5"/>
  <c r="H11" i="5"/>
  <c r="G11" i="5"/>
  <c r="F11" i="5"/>
  <c r="E11" i="5"/>
  <c r="D11" i="5"/>
  <c r="C11" i="5"/>
  <c r="B11" i="5"/>
  <c r="A11" i="5"/>
  <c r="J10" i="5"/>
  <c r="I10" i="5"/>
  <c r="H10" i="5"/>
  <c r="G10" i="5"/>
  <c r="F10" i="5"/>
  <c r="E10" i="5"/>
  <c r="D10" i="5"/>
  <c r="C10" i="5"/>
  <c r="B10" i="5"/>
  <c r="A10" i="5"/>
  <c r="J9" i="5"/>
  <c r="I9" i="5"/>
  <c r="H9" i="5"/>
  <c r="G9" i="5"/>
  <c r="F9" i="5"/>
  <c r="E9" i="5"/>
  <c r="D9" i="5"/>
  <c r="C9" i="5"/>
  <c r="B9" i="5"/>
  <c r="A9" i="5"/>
  <c r="J8" i="5"/>
  <c r="I8" i="5"/>
  <c r="H8" i="5"/>
  <c r="G8" i="5"/>
  <c r="F8" i="5"/>
  <c r="E8" i="5"/>
  <c r="D8" i="5"/>
  <c r="C8" i="5"/>
  <c r="B8" i="5"/>
  <c r="A8" i="5"/>
  <c r="J7" i="5"/>
  <c r="I7" i="5"/>
  <c r="H7" i="5"/>
  <c r="G7" i="5"/>
  <c r="F7" i="5"/>
  <c r="E7" i="5"/>
  <c r="D7" i="5"/>
  <c r="C7" i="5"/>
  <c r="B7" i="5"/>
  <c r="A7" i="5"/>
  <c r="J6" i="5"/>
  <c r="I6" i="5"/>
  <c r="H6" i="5"/>
  <c r="G6" i="5"/>
  <c r="F6" i="5"/>
  <c r="E6" i="5"/>
  <c r="D6" i="5"/>
  <c r="C6" i="5"/>
  <c r="B6" i="5"/>
  <c r="A6" i="5"/>
  <c r="J5" i="5"/>
  <c r="I5" i="5"/>
  <c r="H5" i="5"/>
  <c r="G5" i="5"/>
  <c r="F5" i="5"/>
  <c r="E5" i="5"/>
  <c r="D5" i="5"/>
  <c r="C5" i="5"/>
  <c r="B5" i="5"/>
  <c r="A5" i="5"/>
  <c r="J4" i="5"/>
  <c r="I4" i="5"/>
  <c r="H4" i="5"/>
  <c r="G4" i="5"/>
  <c r="F4" i="5"/>
  <c r="E4" i="5"/>
  <c r="D4" i="5"/>
  <c r="C4" i="5"/>
  <c r="B4" i="5"/>
  <c r="A4" i="5"/>
  <c r="A1" i="5"/>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J5" i="4"/>
  <c r="I5" i="4"/>
  <c r="H5" i="4"/>
  <c r="G5" i="4"/>
  <c r="F5" i="4"/>
  <c r="E5" i="4"/>
  <c r="D5" i="4"/>
  <c r="C5" i="4"/>
  <c r="B5" i="4"/>
  <c r="A5" i="4"/>
  <c r="J4" i="4"/>
  <c r="I4" i="4"/>
  <c r="H4" i="4"/>
  <c r="G4" i="4"/>
  <c r="F4" i="4"/>
  <c r="E4" i="4"/>
  <c r="D4" i="4"/>
  <c r="C4" i="4"/>
  <c r="B4" i="4"/>
  <c r="A4" i="4"/>
  <c r="A1" i="4"/>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J5" i="3"/>
  <c r="I5" i="3"/>
  <c r="H5" i="3"/>
  <c r="G5" i="3"/>
  <c r="F5" i="3"/>
  <c r="E5" i="3"/>
  <c r="D5" i="3"/>
  <c r="C5" i="3"/>
  <c r="B5" i="3"/>
  <c r="A5" i="3"/>
  <c r="J4" i="3"/>
  <c r="I4" i="3"/>
  <c r="H4" i="3"/>
  <c r="G4" i="3"/>
  <c r="F4" i="3"/>
  <c r="E4" i="3"/>
  <c r="D4" i="3"/>
  <c r="C4" i="3"/>
  <c r="B4" i="3"/>
  <c r="A4" i="3"/>
  <c r="A1" i="3"/>
  <c r="L57" i="2"/>
  <c r="K57" i="2"/>
  <c r="J57" i="2"/>
  <c r="I57" i="2"/>
  <c r="H57" i="2"/>
  <c r="G57" i="2"/>
  <c r="F57" i="2"/>
  <c r="E57" i="2"/>
  <c r="C57" i="2"/>
  <c r="B57" i="2"/>
  <c r="A57" i="2"/>
  <c r="L56" i="2"/>
  <c r="K56" i="2"/>
  <c r="J56" i="2"/>
  <c r="I56" i="2"/>
  <c r="H56" i="2"/>
  <c r="G56" i="2"/>
  <c r="F56" i="2"/>
  <c r="E56" i="2"/>
  <c r="C56" i="2"/>
  <c r="B56" i="2"/>
  <c r="A56" i="2"/>
  <c r="L55" i="2"/>
  <c r="K55" i="2"/>
  <c r="J55" i="2"/>
  <c r="I55" i="2"/>
  <c r="H55" i="2"/>
  <c r="G55" i="2"/>
  <c r="F55" i="2"/>
  <c r="E55" i="2"/>
  <c r="C55" i="2"/>
  <c r="B55" i="2"/>
  <c r="A55" i="2"/>
  <c r="L54" i="2"/>
  <c r="K54" i="2"/>
  <c r="J54" i="2"/>
  <c r="I54" i="2"/>
  <c r="H54" i="2"/>
  <c r="G54" i="2"/>
  <c r="F54" i="2"/>
  <c r="E54" i="2"/>
  <c r="C54" i="2"/>
  <c r="B54" i="2"/>
  <c r="A54" i="2"/>
  <c r="L53" i="2"/>
  <c r="K53" i="2"/>
  <c r="J53" i="2"/>
  <c r="I53" i="2"/>
  <c r="H53" i="2"/>
  <c r="G53" i="2"/>
  <c r="F53" i="2"/>
  <c r="E53" i="2"/>
  <c r="C53" i="2"/>
  <c r="B53" i="2"/>
  <c r="A53" i="2"/>
  <c r="L52" i="2"/>
  <c r="K52" i="2"/>
  <c r="J52" i="2"/>
  <c r="I52" i="2"/>
  <c r="H52" i="2"/>
  <c r="G52" i="2"/>
  <c r="F52" i="2"/>
  <c r="E52" i="2"/>
  <c r="C52" i="2"/>
  <c r="B52" i="2"/>
  <c r="A52" i="2"/>
  <c r="L51" i="2"/>
  <c r="K51" i="2"/>
  <c r="J51" i="2"/>
  <c r="I51" i="2"/>
  <c r="H51" i="2"/>
  <c r="G51" i="2"/>
  <c r="F51" i="2"/>
  <c r="E51" i="2"/>
  <c r="C51" i="2"/>
  <c r="B51" i="2"/>
  <c r="A51" i="2"/>
  <c r="L50" i="2"/>
  <c r="K50" i="2"/>
  <c r="J50" i="2"/>
  <c r="I50" i="2"/>
  <c r="H50" i="2"/>
  <c r="G50" i="2"/>
  <c r="F50" i="2"/>
  <c r="E50" i="2"/>
  <c r="C50" i="2"/>
  <c r="B50" i="2"/>
  <c r="A50" i="2"/>
  <c r="L49" i="2"/>
  <c r="K49" i="2"/>
  <c r="J49" i="2"/>
  <c r="I49" i="2"/>
  <c r="H49" i="2"/>
  <c r="G49" i="2"/>
  <c r="F49" i="2"/>
  <c r="E49" i="2"/>
  <c r="C49" i="2"/>
  <c r="B49" i="2"/>
  <c r="A49" i="2"/>
  <c r="L48" i="2"/>
  <c r="K48" i="2"/>
  <c r="J48" i="2"/>
  <c r="I48" i="2"/>
  <c r="H48" i="2"/>
  <c r="G48" i="2"/>
  <c r="F48" i="2"/>
  <c r="E48" i="2"/>
  <c r="C48" i="2"/>
  <c r="B48" i="2"/>
  <c r="A48" i="2"/>
  <c r="L47" i="2"/>
  <c r="K47" i="2"/>
  <c r="J47" i="2"/>
  <c r="I47" i="2"/>
  <c r="H47" i="2"/>
  <c r="G47" i="2"/>
  <c r="F47" i="2"/>
  <c r="E47" i="2"/>
  <c r="C47" i="2"/>
  <c r="B47" i="2"/>
  <c r="A47" i="2"/>
  <c r="L46" i="2"/>
  <c r="K46" i="2"/>
  <c r="J46" i="2"/>
  <c r="I46" i="2"/>
  <c r="H46" i="2"/>
  <c r="G46" i="2"/>
  <c r="F46" i="2"/>
  <c r="E46" i="2"/>
  <c r="C46" i="2"/>
  <c r="B46" i="2"/>
  <c r="A46" i="2"/>
  <c r="L45" i="2"/>
  <c r="K45" i="2"/>
  <c r="J45" i="2"/>
  <c r="I45" i="2"/>
  <c r="H45" i="2"/>
  <c r="G45" i="2"/>
  <c r="F45" i="2"/>
  <c r="E45" i="2"/>
  <c r="C45" i="2"/>
  <c r="B45" i="2"/>
  <c r="A45" i="2"/>
  <c r="L44" i="2"/>
  <c r="K44" i="2"/>
  <c r="J44" i="2"/>
  <c r="I44" i="2"/>
  <c r="H44" i="2"/>
  <c r="G44" i="2"/>
  <c r="F44" i="2"/>
  <c r="E44" i="2"/>
  <c r="C44" i="2"/>
  <c r="B44" i="2"/>
  <c r="A44" i="2"/>
  <c r="L43" i="2"/>
  <c r="K43" i="2"/>
  <c r="J43" i="2"/>
  <c r="I43" i="2"/>
  <c r="H43" i="2"/>
  <c r="G43" i="2"/>
  <c r="F43" i="2"/>
  <c r="E43" i="2"/>
  <c r="C43" i="2"/>
  <c r="B43" i="2"/>
  <c r="A43" i="2"/>
  <c r="L42" i="2"/>
  <c r="K42" i="2"/>
  <c r="J42" i="2"/>
  <c r="I42" i="2"/>
  <c r="H42" i="2"/>
  <c r="G42" i="2"/>
  <c r="F42" i="2"/>
  <c r="E42" i="2"/>
  <c r="C42" i="2"/>
  <c r="B42" i="2"/>
  <c r="A42" i="2"/>
  <c r="L41" i="2"/>
  <c r="K41" i="2"/>
  <c r="J41" i="2"/>
  <c r="I41" i="2"/>
  <c r="H41" i="2"/>
  <c r="G41" i="2"/>
  <c r="F41" i="2"/>
  <c r="E41" i="2"/>
  <c r="C41" i="2"/>
  <c r="B41" i="2"/>
  <c r="A41" i="2"/>
  <c r="L40" i="2"/>
  <c r="K40" i="2"/>
  <c r="J40" i="2"/>
  <c r="I40" i="2"/>
  <c r="H40" i="2"/>
  <c r="G40" i="2"/>
  <c r="F40" i="2"/>
  <c r="E40" i="2"/>
  <c r="C40" i="2"/>
  <c r="B40" i="2"/>
  <c r="A40" i="2"/>
  <c r="C39" i="2"/>
  <c r="B39" i="2"/>
  <c r="A39" i="2"/>
  <c r="L38" i="2"/>
  <c r="K38" i="2"/>
  <c r="J38" i="2"/>
  <c r="I38" i="2"/>
  <c r="H38" i="2"/>
  <c r="G38" i="2"/>
  <c r="F38" i="2"/>
  <c r="E38" i="2"/>
  <c r="C38" i="2"/>
  <c r="B38" i="2"/>
  <c r="A38" i="2"/>
  <c r="L37" i="2"/>
  <c r="K37" i="2"/>
  <c r="J37" i="2"/>
  <c r="I37" i="2"/>
  <c r="H37" i="2"/>
  <c r="G37" i="2"/>
  <c r="F37" i="2"/>
  <c r="E37" i="2"/>
  <c r="C37" i="2"/>
  <c r="B37" i="2"/>
  <c r="A37" i="2"/>
  <c r="L36" i="2"/>
  <c r="K36" i="2"/>
  <c r="J36" i="2"/>
  <c r="I36" i="2"/>
  <c r="H36" i="2"/>
  <c r="G36" i="2"/>
  <c r="F36" i="2"/>
  <c r="E36" i="2"/>
  <c r="C36" i="2"/>
  <c r="B36" i="2"/>
  <c r="A36" i="2"/>
  <c r="C35" i="2"/>
  <c r="B35" i="2"/>
  <c r="A35" i="2"/>
  <c r="L34" i="2"/>
  <c r="K34" i="2"/>
  <c r="J34" i="2"/>
  <c r="I34" i="2"/>
  <c r="H34" i="2"/>
  <c r="G34" i="2"/>
  <c r="F34" i="2"/>
  <c r="E34" i="2"/>
  <c r="C34" i="2"/>
  <c r="B34" i="2"/>
  <c r="A34" i="2"/>
  <c r="L33" i="2"/>
  <c r="K33" i="2"/>
  <c r="J33" i="2"/>
  <c r="I33" i="2"/>
  <c r="H33" i="2"/>
  <c r="G33" i="2"/>
  <c r="F33" i="2"/>
  <c r="E33" i="2"/>
  <c r="C33" i="2"/>
  <c r="B33" i="2"/>
  <c r="A33" i="2"/>
  <c r="L32" i="2"/>
  <c r="K32" i="2"/>
  <c r="J32" i="2"/>
  <c r="I32" i="2"/>
  <c r="H32" i="2"/>
  <c r="G32" i="2"/>
  <c r="F32" i="2"/>
  <c r="E32" i="2"/>
  <c r="C32" i="2"/>
  <c r="B32" i="2"/>
  <c r="A32" i="2"/>
  <c r="L31" i="2"/>
  <c r="K31" i="2"/>
  <c r="J31" i="2"/>
  <c r="I31" i="2"/>
  <c r="H31" i="2"/>
  <c r="G31" i="2"/>
  <c r="F31" i="2"/>
  <c r="E31" i="2"/>
  <c r="C31" i="2"/>
  <c r="B31" i="2"/>
  <c r="A31" i="2"/>
  <c r="L30" i="2"/>
  <c r="K30" i="2"/>
  <c r="J30" i="2"/>
  <c r="I30" i="2"/>
  <c r="H30" i="2"/>
  <c r="G30" i="2"/>
  <c r="F30" i="2"/>
  <c r="E30" i="2"/>
  <c r="C30" i="2"/>
  <c r="B30" i="2"/>
  <c r="A30" i="2"/>
  <c r="L29" i="2"/>
  <c r="K29" i="2"/>
  <c r="J29" i="2"/>
  <c r="I29" i="2"/>
  <c r="H29" i="2"/>
  <c r="G29" i="2"/>
  <c r="F29" i="2"/>
  <c r="E29" i="2"/>
  <c r="C29" i="2"/>
  <c r="B29" i="2"/>
  <c r="A29" i="2"/>
  <c r="L28" i="2"/>
  <c r="K28" i="2"/>
  <c r="J28" i="2"/>
  <c r="I28" i="2"/>
  <c r="H28" i="2"/>
  <c r="G28" i="2"/>
  <c r="F28" i="2"/>
  <c r="E28" i="2"/>
  <c r="C28" i="2"/>
  <c r="B28" i="2"/>
  <c r="A28" i="2"/>
  <c r="L27" i="2"/>
  <c r="K27" i="2"/>
  <c r="J27" i="2"/>
  <c r="I27" i="2"/>
  <c r="H27" i="2"/>
  <c r="G27" i="2"/>
  <c r="F27" i="2"/>
  <c r="E27" i="2"/>
  <c r="C27" i="2"/>
  <c r="B27" i="2"/>
  <c r="A27" i="2"/>
  <c r="L26" i="2"/>
  <c r="K26" i="2"/>
  <c r="J26" i="2"/>
  <c r="I26" i="2"/>
  <c r="H26" i="2"/>
  <c r="G26" i="2"/>
  <c r="F26" i="2"/>
  <c r="E26" i="2"/>
  <c r="C26" i="2"/>
  <c r="B26" i="2"/>
  <c r="A26" i="2"/>
  <c r="L25" i="2"/>
  <c r="K25" i="2"/>
  <c r="J25" i="2"/>
  <c r="I25" i="2"/>
  <c r="H25" i="2"/>
  <c r="G25" i="2"/>
  <c r="F25" i="2"/>
  <c r="E25" i="2"/>
  <c r="C25" i="2"/>
  <c r="B25" i="2"/>
  <c r="A25" i="2"/>
  <c r="L24" i="2"/>
  <c r="K24" i="2"/>
  <c r="J24" i="2"/>
  <c r="I24" i="2"/>
  <c r="H24" i="2"/>
  <c r="G24" i="2"/>
  <c r="F24" i="2"/>
  <c r="E24" i="2"/>
  <c r="C24" i="2"/>
  <c r="B24" i="2"/>
  <c r="A24" i="2"/>
  <c r="L23" i="2"/>
  <c r="K23" i="2"/>
  <c r="J23" i="2"/>
  <c r="I23" i="2"/>
  <c r="H23" i="2"/>
  <c r="G23" i="2"/>
  <c r="F23" i="2"/>
  <c r="E23" i="2"/>
  <c r="C23" i="2"/>
  <c r="B23" i="2"/>
  <c r="A23" i="2"/>
  <c r="L22" i="2"/>
  <c r="K22" i="2"/>
  <c r="J22" i="2"/>
  <c r="I22" i="2"/>
  <c r="H22" i="2"/>
  <c r="G22" i="2"/>
  <c r="F22" i="2"/>
  <c r="E22" i="2"/>
  <c r="C22" i="2"/>
  <c r="B22" i="2"/>
  <c r="A22" i="2"/>
  <c r="L21" i="2"/>
  <c r="K21" i="2"/>
  <c r="J21" i="2"/>
  <c r="I21" i="2"/>
  <c r="H21" i="2"/>
  <c r="G21" i="2"/>
  <c r="F21" i="2"/>
  <c r="E21" i="2"/>
  <c r="C21" i="2"/>
  <c r="B21" i="2"/>
  <c r="A21" i="2"/>
  <c r="L20" i="2"/>
  <c r="K20" i="2"/>
  <c r="J20" i="2"/>
  <c r="I20" i="2"/>
  <c r="H20" i="2"/>
  <c r="G20" i="2"/>
  <c r="F20" i="2"/>
  <c r="E20" i="2"/>
  <c r="C20" i="2"/>
  <c r="B20" i="2"/>
  <c r="A20" i="2"/>
  <c r="L19" i="2"/>
  <c r="K19" i="2"/>
  <c r="J19" i="2"/>
  <c r="I19" i="2"/>
  <c r="H19" i="2"/>
  <c r="G19" i="2"/>
  <c r="F19" i="2"/>
  <c r="E19" i="2"/>
  <c r="C19" i="2"/>
  <c r="B19" i="2"/>
  <c r="A19" i="2"/>
  <c r="L18" i="2"/>
  <c r="K18" i="2"/>
  <c r="J18" i="2"/>
  <c r="I18" i="2"/>
  <c r="H18" i="2"/>
  <c r="G18" i="2"/>
  <c r="F18" i="2"/>
  <c r="E18" i="2"/>
  <c r="C18" i="2"/>
  <c r="B18" i="2"/>
  <c r="A18" i="2"/>
  <c r="L17" i="2"/>
  <c r="K17" i="2"/>
  <c r="J17" i="2"/>
  <c r="I17" i="2"/>
  <c r="H17" i="2"/>
  <c r="G17" i="2"/>
  <c r="F17" i="2"/>
  <c r="E17" i="2"/>
  <c r="C17" i="2"/>
  <c r="B17" i="2"/>
  <c r="A17" i="2"/>
  <c r="L16" i="2"/>
  <c r="K16" i="2"/>
  <c r="J16" i="2"/>
  <c r="I16" i="2"/>
  <c r="H16" i="2"/>
  <c r="G16" i="2"/>
  <c r="F16" i="2"/>
  <c r="E16" i="2"/>
  <c r="C16" i="2"/>
  <c r="B16" i="2"/>
  <c r="A16" i="2"/>
  <c r="L15" i="2"/>
  <c r="K15" i="2"/>
  <c r="J15" i="2"/>
  <c r="I15" i="2"/>
  <c r="H15" i="2"/>
  <c r="G15" i="2"/>
  <c r="F15" i="2"/>
  <c r="E15" i="2"/>
  <c r="C15" i="2"/>
  <c r="B15" i="2"/>
  <c r="A15" i="2"/>
  <c r="L14" i="2"/>
  <c r="K14" i="2"/>
  <c r="J14" i="2"/>
  <c r="I14" i="2"/>
  <c r="H14" i="2"/>
  <c r="G14" i="2"/>
  <c r="F14" i="2"/>
  <c r="E14" i="2"/>
  <c r="C14" i="2"/>
  <c r="B14" i="2"/>
  <c r="A14" i="2"/>
  <c r="L13" i="2"/>
  <c r="K13" i="2"/>
  <c r="J13" i="2"/>
  <c r="I13" i="2"/>
  <c r="H13" i="2"/>
  <c r="G13" i="2"/>
  <c r="F13" i="2"/>
  <c r="E13" i="2"/>
  <c r="C13" i="2"/>
  <c r="B13" i="2"/>
  <c r="A13" i="2"/>
  <c r="L12" i="2"/>
  <c r="K12" i="2"/>
  <c r="J12" i="2"/>
  <c r="I12" i="2"/>
  <c r="H12" i="2"/>
  <c r="G12" i="2"/>
  <c r="F12" i="2"/>
  <c r="E12" i="2"/>
  <c r="C12" i="2"/>
  <c r="B12" i="2"/>
  <c r="A12" i="2"/>
  <c r="L11" i="2"/>
  <c r="K11" i="2"/>
  <c r="J11" i="2"/>
  <c r="I11" i="2"/>
  <c r="H11" i="2"/>
  <c r="G11" i="2"/>
  <c r="F11" i="2"/>
  <c r="E11" i="2"/>
  <c r="C11" i="2"/>
  <c r="B11" i="2"/>
  <c r="A11" i="2"/>
  <c r="L10" i="2"/>
  <c r="K10" i="2"/>
  <c r="J10" i="2"/>
  <c r="I10" i="2"/>
  <c r="H10" i="2"/>
  <c r="G10" i="2"/>
  <c r="F10" i="2"/>
  <c r="E10" i="2"/>
  <c r="C10" i="2"/>
  <c r="B10" i="2"/>
  <c r="A10" i="2"/>
  <c r="L9" i="2"/>
  <c r="K9" i="2"/>
  <c r="J9" i="2"/>
  <c r="I9" i="2"/>
  <c r="H9" i="2"/>
  <c r="G9" i="2"/>
  <c r="F9" i="2"/>
  <c r="E9" i="2"/>
  <c r="C9" i="2"/>
  <c r="B9" i="2"/>
  <c r="A9" i="2"/>
  <c r="L8" i="2"/>
  <c r="K8" i="2"/>
  <c r="J8" i="2"/>
  <c r="I8" i="2"/>
  <c r="H8" i="2"/>
  <c r="G8" i="2"/>
  <c r="F8" i="2"/>
  <c r="E8" i="2"/>
  <c r="C8" i="2"/>
  <c r="B8" i="2"/>
  <c r="A8" i="2"/>
  <c r="L7" i="2"/>
  <c r="K7" i="2"/>
  <c r="J7" i="2"/>
  <c r="I7" i="2"/>
  <c r="H7" i="2"/>
  <c r="G7" i="2"/>
  <c r="F7" i="2"/>
  <c r="E7" i="2"/>
  <c r="C7" i="2"/>
  <c r="B7" i="2"/>
  <c r="A7" i="2"/>
  <c r="L6" i="2"/>
  <c r="K6" i="2"/>
  <c r="J6" i="2"/>
  <c r="I6" i="2"/>
  <c r="H6" i="2"/>
  <c r="G6" i="2"/>
  <c r="F6" i="2"/>
  <c r="E6" i="2"/>
  <c r="C6" i="2"/>
  <c r="B6" i="2"/>
  <c r="A6" i="2"/>
  <c r="L5" i="2"/>
  <c r="K5" i="2"/>
  <c r="J5" i="2"/>
  <c r="I5" i="2"/>
  <c r="H5" i="2"/>
  <c r="G5" i="2"/>
  <c r="F5" i="2"/>
  <c r="E5" i="2"/>
  <c r="C5" i="2"/>
  <c r="B5" i="2"/>
  <c r="A5" i="2"/>
  <c r="I4" i="2"/>
  <c r="C4" i="2"/>
  <c r="B4" i="2"/>
  <c r="A4" i="2"/>
  <c r="A1" i="2"/>
  <c r="J6" i="1"/>
  <c r="I6" i="1"/>
  <c r="H6" i="1"/>
  <c r="G6" i="1"/>
  <c r="F6" i="1"/>
  <c r="E6" i="1"/>
  <c r="D6" i="1"/>
  <c r="C6" i="1"/>
  <c r="B6" i="1"/>
  <c r="A6" i="1"/>
  <c r="J5" i="1"/>
  <c r="I5" i="1"/>
  <c r="H5" i="1"/>
  <c r="G5" i="1"/>
  <c r="F5" i="1"/>
  <c r="E5" i="1"/>
  <c r="D5" i="1"/>
  <c r="C5" i="1"/>
  <c r="B5" i="1"/>
  <c r="A5" i="1"/>
  <c r="J4" i="1"/>
  <c r="I4" i="1"/>
  <c r="H4" i="1"/>
  <c r="G4" i="1"/>
  <c r="F4" i="1"/>
  <c r="E4" i="1"/>
  <c r="D4" i="1"/>
  <c r="C4" i="1"/>
  <c r="B4" i="1"/>
  <c r="A4" i="1"/>
</calcChain>
</file>

<file path=xl/sharedStrings.xml><?xml version="1.0" encoding="utf-8"?>
<sst xmlns="http://schemas.openxmlformats.org/spreadsheetml/2006/main" count="200" uniqueCount="43">
  <si>
    <t>CDA.LS.HCP Kernel Translations, Version 0.1, May 1, 2024</t>
  </si>
  <si>
    <t>CDA.LS.HCP Entity Label Translations</t>
  </si>
  <si>
    <t>Name</t>
  </si>
  <si>
    <t>English Label</t>
  </si>
  <si>
    <t>German Label</t>
  </si>
  <si>
    <t>French Label</t>
  </si>
  <si>
    <t>Spanish Label</t>
  </si>
  <si>
    <t>Italian Label</t>
  </si>
  <si>
    <t>Chinese (Simplified) Label</t>
  </si>
  <si>
    <t>Japanese Label</t>
  </si>
  <si>
    <t>Korean Label</t>
  </si>
  <si>
    <t>Portugese (Brazil) Label</t>
  </si>
  <si>
    <t>CDA.LS.HCP Attribute Label Translations</t>
  </si>
  <si>
    <t>Entity</t>
  </si>
  <si>
    <t>Label</t>
  </si>
  <si>
    <t>Picklist Items</t>
  </si>
  <si>
    <t>N/A</t>
  </si>
  <si>
    <t>Veeva ID</t>
  </si>
  <si>
    <t>Language Items</t>
  </si>
  <si>
    <t>Country Items</t>
  </si>
  <si>
    <t>State Items</t>
  </si>
  <si>
    <t>Type Items</t>
  </si>
  <si>
    <t>Specialty Items</t>
  </si>
  <si>
    <t>Specialty Group Items</t>
  </si>
  <si>
    <t>Medical Degree Items</t>
  </si>
  <si>
    <t>HCP Status Items</t>
  </si>
  <si>
    <t>Level Items</t>
  </si>
  <si>
    <t>Adopter Type Items</t>
  </si>
  <si>
    <t>Address Status Items</t>
  </si>
  <si>
    <t>CDA.LS.HCP HCP Type Items Label Translations</t>
  </si>
  <si>
    <t>CDA.LS.HCP Specialty Items Label Translations</t>
  </si>
  <si>
    <t>CDA.LS.HCP Specialty Group Items Label Translations</t>
  </si>
  <si>
    <t>CDA.LS.HCP Medical Degree Items Label Translations</t>
  </si>
  <si>
    <t>MD</t>
  </si>
  <si>
    <t>DOktortitel</t>
  </si>
  <si>
    <t>DO</t>
  </si>
  <si>
    <t>CDA.LS.HCP HCP Status Items Label Translations</t>
  </si>
  <si>
    <t>CDA.LS.HCP Influence Level Items Label Translations</t>
  </si>
  <si>
    <t>CDA.LS.HCP Adopter Type Items Label Translations</t>
  </si>
  <si>
    <r>
      <rPr>
        <sz val="10"/>
        <color rgb="FF000000"/>
        <rFont val="Arial"/>
        <family val="2"/>
      </rPr>
      <t xml:space="preserve">Based on the </t>
    </r>
    <r>
      <rPr>
        <u/>
        <sz val="10"/>
        <color rgb="FF1155CC"/>
        <rFont val="Arial"/>
        <family val="2"/>
      </rPr>
      <t>Diffusion of Innovations</t>
    </r>
    <r>
      <rPr>
        <sz val="10"/>
        <color rgb="FF000000"/>
        <rFont val="Arial"/>
        <family val="2"/>
      </rPr>
      <t xml:space="preserve"> theory by Everett Rogers</t>
    </r>
  </si>
  <si>
    <t>CDA.LS.HCP Address Status Items Label Translations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</si>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</sst>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rgb="FF666666"/>
      <name val="Arial"/>
      <family val="2"/>
      <scheme val="minor"/>
    </font>
    <font>
      <b/>
      <sz val="10"/>
      <color theme="1"/>
      <name val="Arial"/>
      <family val="2"/>
      <scheme val="minor"/>
    </font>
    <font>
      <sz val="10"/>
      <color theme="1"/>
      <name val="Arial"/>
      <family val="2"/>
      <scheme val="minor"/>
    </font>
    <font>
      <b/>
      <sz val="13"/>
      <color theme="1"/>
      <name val="Arial"/>
      <family val="2"/>
      <scheme val="minor"/>
    </font>
    <font>
      <u/>
      <sz val="10"/>
      <color rgb="FF0000FF"/>
      <name val="Arial"/>
      <family val="2"/>
    </font>
    <font>
      <sz val="10"/>
      <color theme="1"/>
      <name val="Arial"/>
      <family val="2"/>
    </font>
    <font>
      <u/>
      <sz val="10"/>
      <color rgb="FF0000FF"/>
      <name val="Arial"/>
      <family val="2"/>
    </font>
    <font>
      <sz val="10"/>
      <color theme="1"/>
      <name val="Arial"/>
      <family val="2"/>
    </font>
    <font>
      <sz val="10"/>
      <color rgb="FF000000"/>
      <name val="Arial"/>
      <family val="2"/>
    </font>
    <font>
      <u/>
      <sz val="10"/>
      <color rgb="FF1155CC"/>
      <name val="Arial"/>
      <family val="2"/>
    </font>
    <font>
      <b/>
      <sz val="10"/>
      <color theme="1"/>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2" borderId="0" xfId="0" applyFont="1" applyFill="1"/>
    <xf numFmtId="0" fontId="5" fillId="0" borderId="0" xfId="0" applyFont="1"/>
    <xf numFmtId="0" fontId="3" fillId="2" borderId="0" xfId="0" applyFont="1" applyFill="1"/>
    <xf numFmtId="0" fontId="3" fillId="0" borderId="0" xfId="0" applyFont="1" applyAlignment="1">
      <alignment wrapText="1"/>
    </xf>
    <xf numFmtId="0" fontId="6" fillId="0" borderId="0" xfId="0" applyFont="1"/>
    <xf numFmtId="0" fontId="6" fillId="0" borderId="0" xfId="0" applyFont="1" applyAlignment="1">
      <alignment wrapText="1"/>
    </xf>
    <xf numFmtId="0" fontId="6" fillId="3" borderId="0" xfId="0" applyFont="1" applyFill="1"/>
    <xf numFmtId="0" fontId="7" fillId="0" borderId="0" xfId="0" applyFont="1"/>
    <xf numFmtId="0" fontId="8" fillId="0" borderId="0" xfId="0" applyFont="1"/>
    <xf numFmtId="0" fontId="3" fillId="0" borderId="0" xfId="0" applyFont="1" applyAlignment="1">
      <alignment horizontal="right"/>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6"/>
  <sheetViews>
    <sheetView tabSelected="1" workbookViewId="0"/>
  </sheetViews>
  <sheetFormatPr baseColWidth="10" defaultColWidth="12.6640625" defaultRowHeight="15.75" customHeight="1" x14ac:dyDescent="0.15"/>
  <cols>
    <col min="1" max="1" width="20.5" customWidth="1"/>
    <col min="2" max="2" width="22.6640625" customWidth="1"/>
    <col min="3" max="10" width="23.83203125" customWidth="1"/>
  </cols>
  <sheetData>
    <row r="1" spans="1:24" ht="15.75" customHeight="1" x14ac:dyDescent="0.15">
      <c r="A1" s="1" t="s">
        <v>0</v>
      </c>
      <c r="B1" s="2"/>
      <c r="C1" s="3"/>
      <c r="D1" s="3"/>
      <c r="E1" s="2"/>
      <c r="F1" s="2"/>
      <c r="G1" s="2"/>
      <c r="H1" s="2"/>
      <c r="I1" s="2"/>
      <c r="J1" s="2"/>
      <c r="K1" s="2"/>
      <c r="L1" s="2"/>
      <c r="M1" s="2"/>
      <c r="N1" s="2"/>
      <c r="O1" s="2"/>
      <c r="P1" s="2"/>
      <c r="Q1" s="2"/>
      <c r="R1" s="2"/>
      <c r="S1" s="2"/>
      <c r="T1" s="2"/>
      <c r="U1" s="2"/>
      <c r="V1" s="2"/>
      <c r="W1" s="2"/>
      <c r="X1" s="2"/>
    </row>
    <row r="2" spans="1:24" x14ac:dyDescent="0.2">
      <c r="A2" s="4" t="s">
        <v>1</v>
      </c>
      <c r="B2" s="2"/>
      <c r="C2" s="3"/>
      <c r="D2" s="3"/>
      <c r="E2" s="2"/>
      <c r="F2" s="2"/>
      <c r="G2" s="2"/>
      <c r="H2" s="2"/>
      <c r="I2" s="2"/>
      <c r="J2" s="2"/>
      <c r="K2" s="2"/>
      <c r="L2" s="2"/>
      <c r="M2" s="2"/>
      <c r="N2" s="2"/>
      <c r="O2" s="2"/>
      <c r="P2" s="2"/>
      <c r="Q2" s="2"/>
      <c r="R2" s="2"/>
      <c r="S2" s="2"/>
      <c r="T2" s="2"/>
      <c r="U2" s="2"/>
      <c r="V2" s="2"/>
      <c r="W2" s="2"/>
      <c r="X2" s="2"/>
    </row>
    <row r="3" spans="1:24" ht="15.75" customHeight="1" x14ac:dyDescent="0.15">
      <c r="A3" s="5" t="s">
        <v>2</v>
      </c>
      <c r="B3" s="5" t="s">
        <v>3</v>
      </c>
      <c r="C3" s="5" t="s">
        <v>4</v>
      </c>
      <c r="D3" s="5" t="s">
        <v>5</v>
      </c>
      <c r="E3" s="5" t="s">
        <v>6</v>
      </c>
      <c r="F3" s="5" t="s">
        <v>7</v>
      </c>
      <c r="G3" s="5" t="s">
        <v>8</v>
      </c>
      <c r="H3" s="5" t="s">
        <v>9</v>
      </c>
      <c r="I3" s="5" t="s">
        <v>10</v>
      </c>
      <c r="J3" s="5" t="s">
        <v>11</v>
      </c>
      <c r="K3" s="5"/>
      <c r="L3" s="5"/>
      <c r="M3" s="5"/>
      <c r="N3" s="5"/>
      <c r="O3" s="5"/>
      <c r="P3" s="5"/>
      <c r="Q3" s="5"/>
      <c r="R3" s="5"/>
      <c r="S3" s="5"/>
      <c r="T3" s="5"/>
      <c r="U3" s="5"/>
      <c r="V3" s="5"/>
      <c r="W3" s="5"/>
      <c r="X3" s="5"/>
    </row>
    <row r="4" spans="1:24" ht="15.75" customHeight="1" x14ac:dyDescent="0.15">
      <c r="A4" s="3" t="str">
        <f ca="1">IFERROR(__xludf.DUMMYFUNCTION("IMPORTRANGE(""https://docs.google.com/spreadsheets/d/1C7ebseLw3CypDIkJDJaWHHfWiV3njB56moaBb7gLWo8/edit#gid=0"",""Entities!A4:A6"")"),"HCP")</f>
        <v>HCP</v>
      </c>
      <c r="B4" s="3" t="str">
        <f ca="1">IFERROR(__xludf.DUMMYFUNCTION("IMPORTRANGE(""https://docs.google.com/spreadsheets/d/1C7ebseLw3CypDIkJDJaWHHfWiV3njB56moaBb7gLWo8/edit#gid=0"",""Entities!B4:B6"")"),"HCP")</f>
        <v>HCP</v>
      </c>
      <c r="C4" s="3" t="str">
        <f ca="1">IFERROR(__xludf.DUMMYFUNCTION("GOOGLETRANSLATE($B4,""en"",""de"")"),"HCP")</f>
        <v>HCP</v>
      </c>
      <c r="D4" s="3" t="str">
        <f ca="1">IFERROR(__xludf.DUMMYFUNCTION("GOOGLETRANSLATE($B4,""en"",""fr"")"),"Professionnel de santé")</f>
        <v>Professionnel de santé</v>
      </c>
      <c r="E4" s="3" t="str">
        <f ca="1">IFERROR(__xludf.DUMMYFUNCTION("GOOGLETRANSLATE($B4,""en"",""es"")"),"profesional sanitario")</f>
        <v>profesional sanitario</v>
      </c>
      <c r="F4" s="3" t="str">
        <f ca="1">IFERROR(__xludf.DUMMYFUNCTION("GOOGLETRANSLATE($B4,""en"",""it"")"),"Operatore sanitario")</f>
        <v>Operatore sanitario</v>
      </c>
      <c r="G4" s="3" t="str">
        <f ca="1">IFERROR(__xludf.DUMMYFUNCTION("GOOGLETRANSLATE($B4,""en"",""zh-cn"")"),"羟基磷灰石")</f>
        <v>羟基磷灰石</v>
      </c>
      <c r="H4" s="3" t="str">
        <f ca="1">IFERROR(__xludf.DUMMYFUNCTION("GOOGLETRANSLATE($B4,""en"",""ja"")"),"医療従事者")</f>
        <v>医療従事者</v>
      </c>
      <c r="I4" s="3" t="str">
        <f ca="1">IFERROR(__xludf.DUMMYFUNCTION("GOOGLETRANSLATE($B4,""en"",""ko"")"),"HCP")</f>
        <v>HCP</v>
      </c>
      <c r="J4" s="3" t="str">
        <f ca="1">IFERROR(__xludf.DUMMYFUNCTION("GOOGLETRANSLATE($B4,""en"",""pt-BR"")"),"Profissional de saúde")</f>
        <v>Profissional de saúde</v>
      </c>
      <c r="K4" s="2"/>
      <c r="L4" s="2"/>
      <c r="M4" s="2"/>
      <c r="N4" s="2"/>
      <c r="O4" s="2"/>
      <c r="P4" s="2"/>
      <c r="Q4" s="2"/>
      <c r="R4" s="2"/>
      <c r="S4" s="2"/>
      <c r="T4" s="2"/>
      <c r="U4" s="2"/>
      <c r="V4" s="2"/>
      <c r="W4" s="2"/>
      <c r="X4" s="2"/>
    </row>
    <row r="5" spans="1:24" ht="15.75" customHeight="1" x14ac:dyDescent="0.15">
      <c r="A5" s="3" t="str">
        <f ca="1">IFERROR(__xludf.DUMMYFUNCTION("""COMPUTED_VALUE"""),"HCP_Segment")</f>
        <v>HCP_Segment</v>
      </c>
      <c r="B5" s="3" t="str">
        <f ca="1">IFERROR(__xludf.DUMMYFUNCTION("""COMPUTED_VALUE"""),"Segment")</f>
        <v>Segment</v>
      </c>
      <c r="C5" s="3" t="str">
        <f ca="1">IFERROR(__xludf.DUMMYFUNCTION("GOOGLETRANSLATE($B5,""en"",""de"")"),"Segment")</f>
        <v>Segment</v>
      </c>
      <c r="D5" s="3" t="str">
        <f ca="1">IFERROR(__xludf.DUMMYFUNCTION("GOOGLETRANSLATE($B5,""en"",""fr"")"),"Segment")</f>
        <v>Segment</v>
      </c>
      <c r="E5" s="3" t="str">
        <f ca="1">IFERROR(__xludf.DUMMYFUNCTION("GOOGLETRANSLATE($B5,""en"",""es"")"),"Segmento")</f>
        <v>Segmento</v>
      </c>
      <c r="F5" s="3" t="str">
        <f ca="1">IFERROR(__xludf.DUMMYFUNCTION("GOOGLETRANSLATE($B5,""en"",""it"")"),"Segmento")</f>
        <v>Segmento</v>
      </c>
      <c r="G5" s="3" t="str">
        <f ca="1">IFERROR(__xludf.DUMMYFUNCTION("GOOGLETRANSLATE($B5,""en"",""zh-cn"")"),"部分")</f>
        <v>部分</v>
      </c>
      <c r="H5" s="3" t="str">
        <f ca="1">IFERROR(__xludf.DUMMYFUNCTION("GOOGLETRANSLATE($B5,""en"",""ja"")"),"セグメント")</f>
        <v>セグメント</v>
      </c>
      <c r="I5" s="3" t="str">
        <f ca="1">IFERROR(__xludf.DUMMYFUNCTION("GOOGLETRANSLATE($B5,""en"",""ko"")"),"분절")</f>
        <v>분절</v>
      </c>
      <c r="J5" s="3" t="str">
        <f ca="1">IFERROR(__xludf.DUMMYFUNCTION("GOOGLETRANSLATE($B5,""en"",""pt-BR"")"),"Segmento")</f>
        <v>Segmento</v>
      </c>
    </row>
    <row r="6" spans="1:24" ht="15.75" customHeight="1" x14ac:dyDescent="0.15">
      <c r="A6" s="3" t="str">
        <f ca="1">IFERROR(__xludf.DUMMYFUNCTION("""COMPUTED_VALUE"""),"Address")</f>
        <v>Address</v>
      </c>
      <c r="B6" s="3" t="str">
        <f ca="1">IFERROR(__xludf.DUMMYFUNCTION("""COMPUTED_VALUE"""),"Address")</f>
        <v>Address</v>
      </c>
      <c r="C6" s="3" t="str">
        <f ca="1">IFERROR(__xludf.DUMMYFUNCTION("GOOGLETRANSLATE($B6,""en"",""de"")"),"Adresse")</f>
        <v>Adresse</v>
      </c>
      <c r="D6" s="3" t="str">
        <f ca="1">IFERROR(__xludf.DUMMYFUNCTION("GOOGLETRANSLATE($B6,""en"",""fr"")"),"Adresse")</f>
        <v>Adresse</v>
      </c>
      <c r="E6" s="3" t="str">
        <f ca="1">IFERROR(__xludf.DUMMYFUNCTION("GOOGLETRANSLATE($B6,""en"",""es"")"),"DIRECCIÓN")</f>
        <v>DIRECCIÓN</v>
      </c>
      <c r="F6" s="3" t="str">
        <f ca="1">IFERROR(__xludf.DUMMYFUNCTION("GOOGLETRANSLATE($B6,""en"",""it"")"),"Indirizzo")</f>
        <v>Indirizzo</v>
      </c>
      <c r="G6" s="3" t="str">
        <f ca="1">IFERROR(__xludf.DUMMYFUNCTION("GOOGLETRANSLATE($B6,""en"",""zh-cn"")"),"地址")</f>
        <v>地址</v>
      </c>
      <c r="H6" s="3" t="str">
        <f ca="1">IFERROR(__xludf.DUMMYFUNCTION("GOOGLETRANSLATE($B6,""en"",""ja"")"),"住所")</f>
        <v>住所</v>
      </c>
      <c r="I6" s="3" t="str">
        <f ca="1">IFERROR(__xludf.DUMMYFUNCTION("GOOGLETRANSLATE($B6,""en"",""ko"")"),"주소")</f>
        <v>주소</v>
      </c>
      <c r="J6" s="3" t="str">
        <f ca="1">IFERROR(__xludf.DUMMYFUNCTION("GOOGLETRANSLATE($B6,""en"",""pt-BR"")"),"Endereço")</f>
        <v>Endereço</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81"/>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40</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IFERROR(__xludf.DUMMYFUNCTION("IMPORTRANGE(""https://docs.google.com/spreadsheets/d/1C7ebseLw3CypDIkJDJaWHHfWiV3njB56moaBb7gLWo8/edit#gid=0"",""Address Status Items!A4:A"")"),"Active")</f>
        <v>Active</v>
      </c>
      <c r="B4" s="3" t="str">
        <f ca="1">IFERROR(__xludf.DUMMYFUNCTION("IMPORTRANGE(""https://docs.google.com/spreadsheets/d/1C7ebseLw3CypDIkJDJaWHHfWiV3njB56moaBb7gLWo8/edit#gid=0"",""Address Status Items!B4:B"")"),"ACT")</f>
        <v>ACT</v>
      </c>
      <c r="C4" s="3" t="str">
        <f ca="1">IFERROR(__xludf.DUMMYFUNCTION("GOOGLETRANSLATE($A4,""en"",""de"")"),"Aktiv")</f>
        <v>Aktiv</v>
      </c>
      <c r="D4" s="3" t="str">
        <f ca="1">IFERROR(__xludf.DUMMYFUNCTION("GOOGLETRANSLATE($A4,""en"",""fr"")"),"Actif")</f>
        <v>Actif</v>
      </c>
      <c r="E4" s="3" t="str">
        <f ca="1">IFERROR(__xludf.DUMMYFUNCTION("GOOGLETRANSLATE($A4,""en"",""es"")"),"Activo")</f>
        <v>Activo</v>
      </c>
      <c r="F4" s="3" t="str">
        <f ca="1">IFERROR(__xludf.DUMMYFUNCTION("GOOGLETRANSLATE($A4,""en"",""it"")"),"Attivo")</f>
        <v>Attivo</v>
      </c>
      <c r="G4" s="3" t="str">
        <f ca="1">IFERROR(__xludf.DUMMYFUNCTION("GOOGLETRANSLATE($A4,""en"",""zh-cn"")"),"积极的")</f>
        <v>积极的</v>
      </c>
      <c r="H4" s="3" t="str">
        <f ca="1">IFERROR(__xludf.DUMMYFUNCTION("GOOGLETRANSLATE($A4,""en"",""ja"")"),"アクティブ")</f>
        <v>アクティブ</v>
      </c>
      <c r="I4" s="3" t="str">
        <f ca="1">IFERROR(__xludf.DUMMYFUNCTION("GOOGLETRANSLATE($A4,""en"",""ko"")"),"활동적인")</f>
        <v>활동적인</v>
      </c>
      <c r="J4" s="3" t="str">
        <f ca="1">IFERROR(__xludf.DUMMYFUNCTION("GOOGLETRANSLATE($A4,""en"",""pt-BR"")"),"Ativo")</f>
        <v>Ativo</v>
      </c>
    </row>
    <row r="5" spans="1:26" ht="15.75" customHeight="1" x14ac:dyDescent="0.15">
      <c r="A5" s="3" t="str">
        <f ca="1">IFERROR(__xludf.DUMMYFUNCTION("""COMPUTED_VALUE"""),"Inactive")</f>
        <v>Inactive</v>
      </c>
      <c r="B5" s="3" t="str">
        <f ca="1">IFERROR(__xludf.DUMMYFUNCTION("""COMPUTED_VALUE"""),"IACT")</f>
        <v>IACT</v>
      </c>
      <c r="C5" s="3" t="str">
        <f ca="1">IFERROR(__xludf.DUMMYFUNCTION("GOOGLETRANSLATE($A5,""en"",""de"")"),"Inaktiv")</f>
        <v>Inaktiv</v>
      </c>
      <c r="D5" s="3" t="str">
        <f ca="1">IFERROR(__xludf.DUMMYFUNCTION("GOOGLETRANSLATE($A5,""en"",""fr"")"),"Inactif")</f>
        <v>Inactif</v>
      </c>
      <c r="E5" s="3" t="str">
        <f ca="1">IFERROR(__xludf.DUMMYFUNCTION("GOOGLETRANSLATE($A5,""en"",""es"")"),"Inactivo")</f>
        <v>Inactivo</v>
      </c>
      <c r="F5" s="3" t="str">
        <f ca="1">IFERROR(__xludf.DUMMYFUNCTION("GOOGLETRANSLATE($A5,""en"",""it"")"),"Inattivo")</f>
        <v>Inattivo</v>
      </c>
      <c r="G5" s="3" t="str">
        <f ca="1">IFERROR(__xludf.DUMMYFUNCTION("GOOGLETRANSLATE($A5,""en"",""zh-cn"")"),"不活跃")</f>
        <v>不活跃</v>
      </c>
      <c r="H5" s="3" t="str">
        <f ca="1">IFERROR(__xludf.DUMMYFUNCTION("GOOGLETRANSLATE($A5,""en"",""ja"")"),"非活性")</f>
        <v>非活性</v>
      </c>
      <c r="I5" s="3" t="str">
        <f ca="1">IFERROR(__xludf.DUMMYFUNCTION("GOOGLETRANSLATE($A5,""en"",""ko"")"),"비활성")</f>
        <v>비활성</v>
      </c>
      <c r="J5" s="3" t="str">
        <f ca="1">IFERROR(__xludf.DUMMYFUNCTION("GOOGLETRANSLATE($A5,""en"",""pt-BR"")"),"Inativo")</f>
        <v>Inativo</v>
      </c>
    </row>
    <row r="6" spans="1:26" ht="15.75" customHeight="1" x14ac:dyDescent="0.15">
      <c r="A6" s="3"/>
      <c r="B6" s="3"/>
      <c r="C6" s="3"/>
    </row>
    <row r="7" spans="1:26" ht="15.75" customHeight="1" x14ac:dyDescent="0.15">
      <c r="A7" s="3"/>
      <c r="B7" s="3"/>
      <c r="C7" s="3"/>
    </row>
    <row r="8" spans="1:26" ht="15.75" customHeight="1" x14ac:dyDescent="0.15">
      <c r="A8" s="3"/>
      <c r="B8" s="3"/>
      <c r="C8" s="3"/>
    </row>
    <row r="9" spans="1:26" ht="15.75" customHeight="1" x14ac:dyDescent="0.15">
      <c r="A9" s="3"/>
      <c r="B9" s="3"/>
      <c r="C9" s="3"/>
    </row>
    <row r="10" spans="1:26" ht="15.75" customHeight="1" x14ac:dyDescent="0.15">
      <c r="A10" s="3"/>
      <c r="B10" s="3"/>
      <c r="C10" s="3"/>
    </row>
    <row r="11" spans="1:26" ht="15.75" customHeight="1" x14ac:dyDescent="0.15">
      <c r="A11" s="3"/>
      <c r="B11" s="3"/>
      <c r="C11" s="3"/>
    </row>
    <row r="12" spans="1:26" ht="15.75" customHeight="1" x14ac:dyDescent="0.15">
      <c r="A12" s="3"/>
      <c r="B12" s="3"/>
      <c r="C12" s="3"/>
    </row>
    <row r="13" spans="1:26" ht="15.75" customHeight="1" x14ac:dyDescent="0.15">
      <c r="A13" s="3"/>
      <c r="B13" s="3"/>
      <c r="C13" s="3"/>
    </row>
    <row r="14" spans="1:26" ht="15.75" customHeight="1" x14ac:dyDescent="0.15">
      <c r="A14" s="3"/>
      <c r="B14" s="3"/>
      <c r="C14" s="3"/>
    </row>
    <row r="15" spans="1:26" ht="15.75" customHeight="1" x14ac:dyDescent="0.15">
      <c r="A15" s="3"/>
      <c r="B15" s="3"/>
      <c r="C15" s="3"/>
    </row>
    <row r="16" spans="1:26" ht="15.75" customHeight="1" x14ac:dyDescent="0.15">
      <c r="A16" s="3"/>
      <c r="B16" s="3"/>
      <c r="C16" s="3"/>
    </row>
    <row r="17" spans="1:3" ht="15.75" customHeight="1" x14ac:dyDescent="0.15">
      <c r="A17" s="3"/>
      <c r="B17" s="3"/>
      <c r="C17" s="3"/>
    </row>
    <row r="18" spans="1:3" ht="15.75" customHeight="1" x14ac:dyDescent="0.15">
      <c r="A18" s="3"/>
      <c r="B18" s="3"/>
      <c r="C18" s="3"/>
    </row>
    <row r="19" spans="1:3" ht="15.75" customHeight="1" x14ac:dyDescent="0.15">
      <c r="A19" s="3"/>
      <c r="B19" s="3"/>
      <c r="C19" s="3"/>
    </row>
    <row r="20" spans="1:3" ht="15.75" customHeight="1" x14ac:dyDescent="0.15">
      <c r="A20" s="3"/>
      <c r="B20" s="3"/>
    </row>
    <row r="21" spans="1:3" ht="15.75" customHeight="1" x14ac:dyDescent="0.15">
      <c r="A21" s="3"/>
      <c r="B21" s="3"/>
    </row>
    <row r="22" spans="1:3" ht="15.75" customHeight="1" x14ac:dyDescent="0.15">
      <c r="A22" s="3"/>
      <c r="B22" s="3"/>
    </row>
    <row r="23" spans="1:3" ht="15.75" customHeight="1" x14ac:dyDescent="0.15">
      <c r="A23" s="3"/>
      <c r="B23" s="3"/>
    </row>
    <row r="24" spans="1:3" ht="15.75" customHeight="1" x14ac:dyDescent="0.15">
      <c r="A24" s="3"/>
      <c r="B24" s="3"/>
    </row>
    <row r="25" spans="1:3" ht="15.75" customHeight="1" x14ac:dyDescent="0.15">
      <c r="A25" s="3"/>
      <c r="B25" s="3"/>
    </row>
    <row r="26" spans="1:3" ht="15.75" customHeight="1" x14ac:dyDescent="0.15">
      <c r="A26" s="3"/>
      <c r="B26" s="3"/>
    </row>
    <row r="27" spans="1:3" ht="15.75" customHeight="1" x14ac:dyDescent="0.15">
      <c r="A27" s="3"/>
      <c r="B27" s="3"/>
    </row>
    <row r="28" spans="1:3" ht="15.75" customHeight="1" x14ac:dyDescent="0.15">
      <c r="A28" s="3"/>
      <c r="B28" s="3"/>
    </row>
    <row r="29" spans="1:3" ht="15.75" customHeight="1" x14ac:dyDescent="0.15">
      <c r="A29" s="3"/>
      <c r="B29" s="3"/>
    </row>
    <row r="30" spans="1:3" ht="15.75" customHeight="1" x14ac:dyDescent="0.15">
      <c r="A30" s="3"/>
      <c r="B30" s="3"/>
    </row>
    <row r="31" spans="1:3" ht="15.75" customHeight="1" x14ac:dyDescent="0.15">
      <c r="A31" s="3"/>
      <c r="B31" s="3"/>
    </row>
    <row r="32" spans="1:3" ht="15.75" customHeight="1" x14ac:dyDescent="0.15">
      <c r="A32" s="3"/>
      <c r="B32" s="3"/>
    </row>
    <row r="33" spans="1:2" ht="15.75" customHeight="1" x14ac:dyDescent="0.15">
      <c r="A33" s="3"/>
      <c r="B33" s="3"/>
    </row>
    <row r="34" spans="1:2" ht="15.75" customHeight="1" x14ac:dyDescent="0.15">
      <c r="A34" s="3"/>
      <c r="B34" s="3"/>
    </row>
    <row r="35" spans="1:2" ht="15.75" customHeight="1" x14ac:dyDescent="0.15">
      <c r="A35" s="3"/>
      <c r="B35" s="3"/>
    </row>
    <row r="36" spans="1:2" ht="15.75" customHeight="1" x14ac:dyDescent="0.15">
      <c r="A36" s="3"/>
      <c r="B36" s="3"/>
    </row>
    <row r="37" spans="1:2" ht="15.75" customHeight="1" x14ac:dyDescent="0.15">
      <c r="A37" s="3"/>
      <c r="B37" s="3"/>
    </row>
    <row r="38" spans="1:2" ht="15.75" customHeight="1" x14ac:dyDescent="0.15">
      <c r="A38" s="3"/>
      <c r="B38" s="3"/>
    </row>
    <row r="39" spans="1:2" ht="15.75" customHeight="1" x14ac:dyDescent="0.15">
      <c r="A39" s="3"/>
      <c r="B39" s="3"/>
    </row>
    <row r="40" spans="1:2" ht="15.75" customHeight="1" x14ac:dyDescent="0.15">
      <c r="A40" s="3"/>
      <c r="B40" s="3"/>
    </row>
    <row r="41" spans="1:2" ht="15.75" customHeight="1" x14ac:dyDescent="0.15">
      <c r="A41" s="3"/>
      <c r="B41" s="3"/>
    </row>
    <row r="42" spans="1:2" ht="15.75" customHeight="1" x14ac:dyDescent="0.15">
      <c r="A42" s="3"/>
      <c r="B42" s="3"/>
    </row>
    <row r="43" spans="1:2" ht="15.75" customHeight="1" x14ac:dyDescent="0.15">
      <c r="A43" s="3"/>
      <c r="B43" s="3"/>
    </row>
    <row r="44" spans="1:2" ht="15.75" customHeight="1" x14ac:dyDescent="0.15">
      <c r="A44" s="3"/>
      <c r="B44" s="3"/>
    </row>
    <row r="45" spans="1:2" ht="15.75" customHeight="1" x14ac:dyDescent="0.15">
      <c r="A45" s="3"/>
      <c r="B45" s="3"/>
    </row>
    <row r="46" spans="1:2" ht="15.75" customHeight="1" x14ac:dyDescent="0.15">
      <c r="A46" s="3"/>
      <c r="B46" s="3"/>
    </row>
    <row r="47" spans="1:2" ht="15.75" customHeight="1" x14ac:dyDescent="0.15">
      <c r="A47" s="3"/>
      <c r="B47" s="3"/>
    </row>
    <row r="48" spans="1:2" ht="15.75" customHeight="1" x14ac:dyDescent="0.15">
      <c r="A48" s="3"/>
      <c r="B48" s="3"/>
    </row>
    <row r="49" spans="1:2" ht="15.75" customHeight="1" x14ac:dyDescent="0.15">
      <c r="A49" s="3"/>
      <c r="B49" s="3"/>
    </row>
    <row r="50" spans="1:2" ht="15.75" customHeight="1" x14ac:dyDescent="0.15">
      <c r="A50" s="3"/>
      <c r="B50" s="3"/>
    </row>
    <row r="51" spans="1:2" ht="15.75" customHeight="1" x14ac:dyDescent="0.15">
      <c r="A51" s="3"/>
      <c r="B51" s="3"/>
    </row>
    <row r="52" spans="1:2" ht="15.75" customHeight="1" x14ac:dyDescent="0.15">
      <c r="A52" s="3"/>
      <c r="B52" s="3"/>
    </row>
    <row r="53" spans="1:2" ht="15.75" customHeight="1" x14ac:dyDescent="0.15">
      <c r="A53" s="3"/>
      <c r="B53" s="3"/>
    </row>
    <row r="54" spans="1:2" ht="15.75" customHeight="1" x14ac:dyDescent="0.15">
      <c r="A54" s="3"/>
      <c r="B54" s="3"/>
    </row>
    <row r="55" spans="1:2" ht="15.75" customHeight="1" x14ac:dyDescent="0.15">
      <c r="A55" s="3"/>
      <c r="B55" s="3"/>
    </row>
    <row r="56" spans="1:2" ht="15.75" customHeight="1" x14ac:dyDescent="0.15">
      <c r="A56" s="3"/>
      <c r="B56" s="3"/>
    </row>
    <row r="57" spans="1:2" ht="15.75" customHeight="1" x14ac:dyDescent="0.15">
      <c r="A57" s="3"/>
      <c r="B57" s="3"/>
    </row>
    <row r="58" spans="1:2" ht="15.75" customHeight="1" x14ac:dyDescent="0.15">
      <c r="A58" s="3"/>
      <c r="B58" s="3"/>
    </row>
    <row r="59" spans="1:2" ht="15.75" customHeight="1" x14ac:dyDescent="0.15">
      <c r="A59" s="3"/>
      <c r="B59" s="3"/>
    </row>
    <row r="60" spans="1:2" ht="13" x14ac:dyDescent="0.15">
      <c r="A60" s="3"/>
      <c r="B60" s="3"/>
    </row>
    <row r="61" spans="1:2" ht="13" x14ac:dyDescent="0.15">
      <c r="A61" s="3"/>
      <c r="B61" s="3"/>
    </row>
    <row r="62" spans="1:2" ht="13" x14ac:dyDescent="0.15">
      <c r="A62" s="3"/>
      <c r="B62" s="3"/>
    </row>
    <row r="63" spans="1:2" ht="13" x14ac:dyDescent="0.15">
      <c r="A63" s="3"/>
      <c r="B63" s="3"/>
    </row>
    <row r="64" spans="1:2" ht="13" x14ac:dyDescent="0.15">
      <c r="A64" s="3"/>
      <c r="B64" s="3"/>
    </row>
    <row r="65" spans="1:2" ht="13" x14ac:dyDescent="0.15">
      <c r="A65" s="3"/>
      <c r="B65" s="3"/>
    </row>
    <row r="66" spans="1:2" ht="13" x14ac:dyDescent="0.15">
      <c r="A66" s="3"/>
      <c r="B66" s="3"/>
    </row>
    <row r="67" spans="1:2" ht="13" x14ac:dyDescent="0.15">
      <c r="A67" s="3"/>
      <c r="B67" s="3"/>
    </row>
    <row r="68" spans="1:2" ht="13" x14ac:dyDescent="0.15">
      <c r="A68" s="3"/>
      <c r="B68" s="3"/>
    </row>
    <row r="69" spans="1:2" ht="13" x14ac:dyDescent="0.15">
      <c r="A69" s="3"/>
      <c r="B69" s="3"/>
    </row>
    <row r="70" spans="1:2" ht="13" x14ac:dyDescent="0.15">
      <c r="A70" s="3"/>
      <c r="B70" s="3"/>
    </row>
    <row r="71" spans="1:2" ht="13" x14ac:dyDescent="0.15">
      <c r="A71" s="3"/>
      <c r="B71" s="3"/>
    </row>
    <row r="72" spans="1:2" ht="13" x14ac:dyDescent="0.15">
      <c r="A72" s="3"/>
      <c r="B72" s="3"/>
    </row>
    <row r="73" spans="1:2" ht="13" x14ac:dyDescent="0.15">
      <c r="A73" s="3"/>
      <c r="B73" s="3"/>
    </row>
    <row r="74" spans="1:2" ht="13" x14ac:dyDescent="0.15">
      <c r="A74" s="3"/>
      <c r="B74" s="3"/>
    </row>
    <row r="75" spans="1:2" ht="13" x14ac:dyDescent="0.15">
      <c r="A75" s="3"/>
      <c r="B75" s="3"/>
    </row>
    <row r="76" spans="1:2" ht="13" x14ac:dyDescent="0.15">
      <c r="A76" s="3"/>
      <c r="B76" s="3"/>
    </row>
    <row r="77" spans="1:2" ht="13" x14ac:dyDescent="0.15">
      <c r="A77" s="3"/>
      <c r="B77" s="3"/>
    </row>
    <row r="78" spans="1:2" ht="13" x14ac:dyDescent="0.15">
      <c r="A78" s="3"/>
      <c r="B78" s="3"/>
    </row>
    <row r="79" spans="1:2" ht="13" x14ac:dyDescent="0.15">
      <c r="A79" s="3"/>
      <c r="B79" s="3"/>
    </row>
    <row r="80" spans="1:2"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row r="981" spans="1:2" ht="13" x14ac:dyDescent="0.15">
      <c r="A981" s="3"/>
      <c r="B981"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F3"/>
  <sheetViews>
    <sheetView workbookViewId="0"/>
  </sheetViews>
  <sheetFormatPr baseColWidth="10" defaultColWidth="12.6640625" defaultRowHeight="15.75" customHeight="1" x14ac:dyDescent="0.15"/>
  <cols>
    <col min="1" max="1" width="90.1640625" customWidth="1"/>
  </cols>
  <sheetData>
    <row r="1" spans="1:6" ht="15.75" customHeight="1" x14ac:dyDescent="0.15">
      <c r="A1" s="1" t="str">
        <f>Entities!A1</f>
        <v>CDA.LS.HCP Kernel Translations, Version 0.1, May 1, 2024</v>
      </c>
      <c r="F1" s="14"/>
    </row>
    <row r="2" spans="1:6" x14ac:dyDescent="0.2">
      <c r="A2" s="4" t="s">
        <v>41</v>
      </c>
    </row>
    <row r="3" spans="1:6" ht="409.6" x14ac:dyDescent="0.15">
      <c r="A3" s="8"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025"/>
  <sheetViews>
    <sheetView workbookViewId="0"/>
  </sheetViews>
  <sheetFormatPr baseColWidth="10" defaultColWidth="12.6640625" defaultRowHeight="15.75" customHeight="1" x14ac:dyDescent="0.15"/>
  <cols>
    <col min="1" max="1" width="16.83203125" customWidth="1"/>
    <col min="2" max="2" width="18" customWidth="1"/>
    <col min="3" max="3" width="21.6640625" customWidth="1"/>
    <col min="4" max="4" width="28.6640625" customWidth="1"/>
    <col min="5" max="12" width="27.1640625" customWidth="1"/>
  </cols>
  <sheetData>
    <row r="1" spans="1:18" ht="15.75" customHeight="1" x14ac:dyDescent="0.15">
      <c r="A1" s="1" t="str">
        <f>Entities!A1</f>
        <v>CDA.LS.HCP Kernel Translations, Version 0.1, May 1, 2024</v>
      </c>
      <c r="C1" s="2"/>
      <c r="D1" s="2"/>
      <c r="E1" s="2"/>
      <c r="F1" s="2"/>
      <c r="G1" s="2"/>
      <c r="H1" s="2"/>
      <c r="I1" s="2"/>
      <c r="J1" s="2"/>
      <c r="K1" s="2"/>
      <c r="L1" s="2"/>
      <c r="M1" s="2"/>
      <c r="N1" s="2"/>
      <c r="O1" s="2"/>
      <c r="P1" s="2"/>
      <c r="Q1" s="2"/>
      <c r="R1" s="2"/>
    </row>
    <row r="2" spans="1:18" x14ac:dyDescent="0.2">
      <c r="A2" s="4" t="s">
        <v>12</v>
      </c>
      <c r="C2" s="2"/>
      <c r="D2" s="2"/>
      <c r="E2" s="2"/>
      <c r="F2" s="2"/>
      <c r="G2" s="2"/>
      <c r="H2" s="2"/>
      <c r="I2" s="2"/>
      <c r="J2" s="2"/>
      <c r="K2" s="2"/>
      <c r="L2" s="2"/>
      <c r="M2" s="2"/>
      <c r="N2" s="2"/>
      <c r="O2" s="2"/>
      <c r="P2" s="2"/>
      <c r="Q2" s="2"/>
      <c r="R2" s="2"/>
    </row>
    <row r="3" spans="1:18" ht="15.75" customHeight="1" x14ac:dyDescent="0.15">
      <c r="A3" s="5" t="s">
        <v>13</v>
      </c>
      <c r="B3" s="5" t="s">
        <v>2</v>
      </c>
      <c r="C3" s="5" t="s">
        <v>14</v>
      </c>
      <c r="D3" s="5" t="s">
        <v>15</v>
      </c>
      <c r="E3" s="5" t="s">
        <v>4</v>
      </c>
      <c r="F3" s="5" t="s">
        <v>5</v>
      </c>
      <c r="G3" s="5" t="s">
        <v>6</v>
      </c>
      <c r="H3" s="5" t="s">
        <v>7</v>
      </c>
      <c r="I3" s="5" t="s">
        <v>8</v>
      </c>
      <c r="J3" s="5" t="s">
        <v>9</v>
      </c>
      <c r="K3" s="5" t="s">
        <v>10</v>
      </c>
      <c r="L3" s="5" t="s">
        <v>11</v>
      </c>
      <c r="M3" s="5"/>
      <c r="N3" s="5"/>
      <c r="O3" s="5"/>
      <c r="P3" s="5"/>
      <c r="Q3" s="5"/>
      <c r="R3" s="5"/>
    </row>
    <row r="4" spans="1:18" ht="15.75" customHeight="1" x14ac:dyDescent="0.15">
      <c r="A4" s="3" t="str">
        <f ca="1">IFERROR(__xludf.DUMMYFUNCTION("IMPORTRANGE(""https://docs.google.com/spreadsheets/d/1C7ebseLw3CypDIkJDJaWHHfWiV3njB56moaBb7gLWo8/edit#gid=0"",""Attributes!A4:A"")"),"HCP")</f>
        <v>HCP</v>
      </c>
      <c r="B4" s="3" t="str">
        <f ca="1">IFERROR(__xludf.DUMMYFUNCTION("IMPORTRANGE(""https://docs.google.com/spreadsheets/d/1C7ebseLw3CypDIkJDJaWHHfWiV3njB56moaBb7gLWo8"",""Attributes!B4:B"")"),"VeevaID")</f>
        <v>VeevaID</v>
      </c>
      <c r="C4" s="3" t="str">
        <f ca="1">IFERROR(__xludf.DUMMYFUNCTION("IMPORTRANGE(""https://docs.google.com/spreadsheets/d/1C7ebseLw3CypDIkJDJaWHHfWiV3njB56moaBb7gLWo8/edit#gid=0"",""Attributes!C4:C"")"),"Veeva ID")</f>
        <v>Veeva ID</v>
      </c>
      <c r="D4" s="3" t="s">
        <v>16</v>
      </c>
      <c r="E4" s="3" t="s">
        <v>17</v>
      </c>
      <c r="F4" s="3" t="s">
        <v>17</v>
      </c>
      <c r="G4" s="3" t="s">
        <v>17</v>
      </c>
      <c r="H4" s="3" t="s">
        <v>17</v>
      </c>
      <c r="I4" s="3" t="str">
        <f ca="1">IFERROR(__xludf.DUMMYFUNCTION("GOOGLETRANSLATE($C4,""en"",""zh-cn"")"),"Veeva ID")</f>
        <v>Veeva ID</v>
      </c>
      <c r="J4" s="3" t="s">
        <v>17</v>
      </c>
      <c r="K4" s="3" t="s">
        <v>17</v>
      </c>
      <c r="L4" s="3" t="s">
        <v>17</v>
      </c>
    </row>
    <row r="5" spans="1:18" ht="15.75" customHeight="1" x14ac:dyDescent="0.15">
      <c r="A5" s="3" t="str">
        <f ca="1">IFERROR(__xludf.DUMMYFUNCTION("""COMPUTED_VALUE"""),"HCP")</f>
        <v>HCP</v>
      </c>
      <c r="B5" s="3" t="str">
        <f ca="1">IFERROR(__xludf.DUMMYFUNCTION("""COMPUTED_VALUE"""),"first_name")</f>
        <v>first_name</v>
      </c>
      <c r="C5" s="3" t="str">
        <f ca="1">IFERROR(__xludf.DUMMYFUNCTION("""COMPUTED_VALUE"""),"First Name")</f>
        <v>First Name</v>
      </c>
      <c r="D5" s="3" t="s">
        <v>16</v>
      </c>
      <c r="E5" s="3" t="str">
        <f ca="1">IFERROR(__xludf.DUMMYFUNCTION("GOOGLETRANSLATE(C5,""en"",""de"")"),"Vorname")</f>
        <v>Vorname</v>
      </c>
      <c r="F5" s="3" t="str">
        <f ca="1">IFERROR(__xludf.DUMMYFUNCTION("GOOGLETRANSLATE(C5,""en"",""fr"")"),"Prénom")</f>
        <v>Prénom</v>
      </c>
      <c r="G5" s="3" t="str">
        <f ca="1">IFERROR(__xludf.DUMMYFUNCTION("GOOGLETRANSLATE(C5,""en"",""es"")"),"Nombre de pila")</f>
        <v>Nombre de pila</v>
      </c>
      <c r="H5" s="3" t="str">
        <f ca="1">IFERROR(__xludf.DUMMYFUNCTION("GOOGLETRANSLATE($C5,""en"",""it"")"),"Nome di battesimo")</f>
        <v>Nome di battesimo</v>
      </c>
      <c r="I5" s="3" t="str">
        <f ca="1">IFERROR(__xludf.DUMMYFUNCTION("GOOGLETRANSLATE($C5,""en"",""zh-cn"")"),"名")</f>
        <v>名</v>
      </c>
      <c r="J5" s="3" t="str">
        <f ca="1">IFERROR(__xludf.DUMMYFUNCTION("GOOGLETRANSLATE($C5,""en"",""ja"")"),"ファーストネーム")</f>
        <v>ファーストネーム</v>
      </c>
      <c r="K5" s="3" t="str">
        <f ca="1">IFERROR(__xludf.DUMMYFUNCTION("GOOGLETRANSLATE($C5,""en"",""ko"")"),"이름")</f>
        <v>이름</v>
      </c>
      <c r="L5" s="3" t="str">
        <f ca="1">IFERROR(__xludf.DUMMYFUNCTION("GOOGLETRANSLATE($C5,""en"",""pt-BR"")"),"Primeiro nome")</f>
        <v>Primeiro nome</v>
      </c>
    </row>
    <row r="6" spans="1:18" ht="15.75" customHeight="1" x14ac:dyDescent="0.15">
      <c r="A6" s="3" t="str">
        <f ca="1">IFERROR(__xludf.DUMMYFUNCTION("""COMPUTED_VALUE"""),"HCP")</f>
        <v>HCP</v>
      </c>
      <c r="B6" s="3" t="str">
        <f ca="1">IFERROR(__xludf.DUMMYFUNCTION("""COMPUTED_VALUE"""),"last_name")</f>
        <v>last_name</v>
      </c>
      <c r="C6" s="3" t="str">
        <f ca="1">IFERROR(__xludf.DUMMYFUNCTION("""COMPUTED_VALUE"""),"Last Name")</f>
        <v>Last Name</v>
      </c>
      <c r="D6" s="3" t="s">
        <v>16</v>
      </c>
      <c r="E6" s="3" t="str">
        <f ca="1">IFERROR(__xludf.DUMMYFUNCTION("GOOGLETRANSLATE(C6,""en"",""de"")"),"Familienname, Nachname")</f>
        <v>Familienname, Nachname</v>
      </c>
      <c r="F6" s="3" t="str">
        <f ca="1">IFERROR(__xludf.DUMMYFUNCTION("GOOGLETRANSLATE(C6,""en"",""fr"")"),"Nom de famille")</f>
        <v>Nom de famille</v>
      </c>
      <c r="G6" s="3" t="str">
        <f ca="1">IFERROR(__xludf.DUMMYFUNCTION("GOOGLETRANSLATE(C6,""en"",""es"")"),"Apellido")</f>
        <v>Apellido</v>
      </c>
      <c r="H6" s="3" t="str">
        <f ca="1">IFERROR(__xludf.DUMMYFUNCTION("GOOGLETRANSLATE($C6,""en"",""it"")"),"Cognome")</f>
        <v>Cognome</v>
      </c>
      <c r="I6" s="3" t="str">
        <f ca="1">IFERROR(__xludf.DUMMYFUNCTION("GOOGLETRANSLATE($C6,""en"",""zh-cn"")"),"姓")</f>
        <v>姓</v>
      </c>
      <c r="J6" s="3" t="str">
        <f ca="1">IFERROR(__xludf.DUMMYFUNCTION("GOOGLETRANSLATE($C6,""en"",""ja"")"),"苗字")</f>
        <v>苗字</v>
      </c>
      <c r="K6" s="3" t="str">
        <f ca="1">IFERROR(__xludf.DUMMYFUNCTION("GOOGLETRANSLATE($C6,""en"",""ko"")"),"성")</f>
        <v>성</v>
      </c>
      <c r="L6" s="3" t="str">
        <f ca="1">IFERROR(__xludf.DUMMYFUNCTION("GOOGLETRANSLATE($C6,""en"",""pt-BR"")"),"Sobrenome")</f>
        <v>Sobrenome</v>
      </c>
    </row>
    <row r="7" spans="1:18" ht="15.75" customHeight="1" x14ac:dyDescent="0.15">
      <c r="A7" s="3" t="str">
        <f ca="1">IFERROR(__xludf.DUMMYFUNCTION("""COMPUTED_VALUE"""),"HCP")</f>
        <v>HCP</v>
      </c>
      <c r="B7" s="3" t="str">
        <f ca="1">IFERROR(__xludf.DUMMYFUNCTION("""COMPUTED_VALUE"""),"middle_name")</f>
        <v>middle_name</v>
      </c>
      <c r="C7" s="3" t="str">
        <f ca="1">IFERROR(__xludf.DUMMYFUNCTION("""COMPUTED_VALUE"""),"Middle Name")</f>
        <v>Middle Name</v>
      </c>
      <c r="D7" s="3" t="s">
        <v>16</v>
      </c>
      <c r="E7" s="3" t="str">
        <f ca="1">IFERROR(__xludf.DUMMYFUNCTION("GOOGLETRANSLATE(C7,""en"",""de"")"),"Zweiter Vorname")</f>
        <v>Zweiter Vorname</v>
      </c>
      <c r="F7" s="3" t="str">
        <f ca="1">IFERROR(__xludf.DUMMYFUNCTION("GOOGLETRANSLATE(C7,""en"",""fr"")"),"Deuxième prénom")</f>
        <v>Deuxième prénom</v>
      </c>
      <c r="G7" s="3" t="str">
        <f ca="1">IFERROR(__xludf.DUMMYFUNCTION("GOOGLETRANSLATE(C7,""en"",""es"")"),"Segundo nombre")</f>
        <v>Segundo nombre</v>
      </c>
      <c r="H7" s="3" t="str">
        <f ca="1">IFERROR(__xludf.DUMMYFUNCTION("GOOGLETRANSLATE($C7,""en"",""it"")"),"Secondo nome")</f>
        <v>Secondo nome</v>
      </c>
      <c r="I7" s="3" t="str">
        <f ca="1">IFERROR(__xludf.DUMMYFUNCTION("GOOGLETRANSLATE($C7,""en"",""zh-cn"")"),"中间名字")</f>
        <v>中间名字</v>
      </c>
      <c r="J7" s="3" t="str">
        <f ca="1">IFERROR(__xludf.DUMMYFUNCTION("GOOGLETRANSLATE($C7,""en"",""ja"")"),"ミドルネーム")</f>
        <v>ミドルネーム</v>
      </c>
      <c r="K7" s="3" t="str">
        <f ca="1">IFERROR(__xludf.DUMMYFUNCTION("GOOGLETRANSLATE($C7,""en"",""ko"")"),"중간 이름")</f>
        <v>중간 이름</v>
      </c>
      <c r="L7" s="3" t="str">
        <f ca="1">IFERROR(__xludf.DUMMYFUNCTION("GOOGLETRANSLATE($C7,""en"",""pt-BR"")"),"Nome do meio")</f>
        <v>Nome do meio</v>
      </c>
    </row>
    <row r="8" spans="1:18" ht="15.75" customHeight="1" x14ac:dyDescent="0.15">
      <c r="A8" s="3" t="str">
        <f ca="1">IFERROR(__xludf.DUMMYFUNCTION("""COMPUTED_VALUE"""),"HCP")</f>
        <v>HCP</v>
      </c>
      <c r="B8" s="3" t="str">
        <f ca="1">IFERROR(__xludf.DUMMYFUNCTION("""COMPUTED_VALUE"""),"prefix")</f>
        <v>prefix</v>
      </c>
      <c r="C8" s="3" t="str">
        <f ca="1">IFERROR(__xludf.DUMMYFUNCTION("""COMPUTED_VALUE"""),"Prefix")</f>
        <v>Prefix</v>
      </c>
      <c r="D8" s="3" t="s">
        <v>16</v>
      </c>
      <c r="E8" s="3" t="str">
        <f ca="1">IFERROR(__xludf.DUMMYFUNCTION("GOOGLETRANSLATE(C8,""en"",""de"")"),"Präfix")</f>
        <v>Präfix</v>
      </c>
      <c r="F8" s="3" t="str">
        <f ca="1">IFERROR(__xludf.DUMMYFUNCTION("GOOGLETRANSLATE(C8,""en"",""fr"")"),"Préfixe")</f>
        <v>Préfixe</v>
      </c>
      <c r="G8" s="3" t="str">
        <f ca="1">IFERROR(__xludf.DUMMYFUNCTION("GOOGLETRANSLATE(C8,""en"",""es"")"),"Prefijo")</f>
        <v>Prefijo</v>
      </c>
      <c r="H8" s="3" t="str">
        <f ca="1">IFERROR(__xludf.DUMMYFUNCTION("GOOGLETRANSLATE($C8,""en"",""it"")"),"Prefisso")</f>
        <v>Prefisso</v>
      </c>
      <c r="I8" s="3" t="str">
        <f ca="1">IFERROR(__xludf.DUMMYFUNCTION("GOOGLETRANSLATE($C8,""en"",""zh-cn"")"),"字首")</f>
        <v>字首</v>
      </c>
      <c r="J8" s="3" t="str">
        <f ca="1">IFERROR(__xludf.DUMMYFUNCTION("GOOGLETRANSLATE($C8,""en"",""ja"")"),"プレフィックス")</f>
        <v>プレフィックス</v>
      </c>
      <c r="K8" s="3" t="str">
        <f ca="1">IFERROR(__xludf.DUMMYFUNCTION("GOOGLETRANSLATE($C8,""en"",""ko"")"),"접두사")</f>
        <v>접두사</v>
      </c>
      <c r="L8" s="3" t="str">
        <f ca="1">IFERROR(__xludf.DUMMYFUNCTION("GOOGLETRANSLATE($C8,""en"",""pt-BR"")"),"Prefixo")</f>
        <v>Prefixo</v>
      </c>
    </row>
    <row r="9" spans="1:18" ht="15.75" customHeight="1" x14ac:dyDescent="0.15">
      <c r="A9" s="3" t="str">
        <f ca="1">IFERROR(__xludf.DUMMYFUNCTION("""COMPUTED_VALUE"""),"HCP")</f>
        <v>HCP</v>
      </c>
      <c r="B9" s="3" t="str">
        <f ca="1">IFERROR(__xludf.DUMMYFUNCTION("""COMPUTED_VALUE"""),"suffix")</f>
        <v>suffix</v>
      </c>
      <c r="C9" s="3" t="str">
        <f ca="1">IFERROR(__xludf.DUMMYFUNCTION("""COMPUTED_VALUE"""),"Suffix")</f>
        <v>Suffix</v>
      </c>
      <c r="D9" s="3" t="s">
        <v>16</v>
      </c>
      <c r="E9" s="3" t="str">
        <f ca="1">IFERROR(__xludf.DUMMYFUNCTION("GOOGLETRANSLATE(C9,""en"",""de"")"),"Suffix")</f>
        <v>Suffix</v>
      </c>
      <c r="F9" s="3" t="str">
        <f ca="1">IFERROR(__xludf.DUMMYFUNCTION("GOOGLETRANSLATE(C9,""en"",""fr"")"),"Suffixe")</f>
        <v>Suffixe</v>
      </c>
      <c r="G9" s="3" t="str">
        <f ca="1">IFERROR(__xludf.DUMMYFUNCTION("GOOGLETRANSLATE(C9,""en"",""es"")"),"Sufijo")</f>
        <v>Sufijo</v>
      </c>
      <c r="H9" s="3" t="str">
        <f ca="1">IFERROR(__xludf.DUMMYFUNCTION("GOOGLETRANSLATE($C9,""en"",""it"")"),"Suffisso")</f>
        <v>Suffisso</v>
      </c>
      <c r="I9" s="3" t="str">
        <f ca="1">IFERROR(__xludf.DUMMYFUNCTION("GOOGLETRANSLATE($C9,""en"",""zh-cn"")"),"后缀")</f>
        <v>后缀</v>
      </c>
      <c r="J9" s="3" t="str">
        <f ca="1">IFERROR(__xludf.DUMMYFUNCTION("GOOGLETRANSLATE($C9,""en"",""ja"")"),"サフィックス")</f>
        <v>サフィックス</v>
      </c>
      <c r="K9" s="3" t="str">
        <f ca="1">IFERROR(__xludf.DUMMYFUNCTION("GOOGLETRANSLATE($C9,""en"",""ko"")"),"접미사")</f>
        <v>접미사</v>
      </c>
      <c r="L9" s="3" t="str">
        <f ca="1">IFERROR(__xludf.DUMMYFUNCTION("GOOGLETRANSLATE($C9,""en"",""pt-BR"")"),"Sufixo")</f>
        <v>Sufixo</v>
      </c>
    </row>
    <row r="10" spans="1:18" ht="15.75" customHeight="1" x14ac:dyDescent="0.15">
      <c r="A10" s="3" t="str">
        <f ca="1">IFERROR(__xludf.DUMMYFUNCTION("""COMPUTED_VALUE"""),"HCP")</f>
        <v>HCP</v>
      </c>
      <c r="B10" s="3" t="str">
        <f ca="1">IFERROR(__xludf.DUMMYFUNCTION("""COMPUTED_VALUE"""),"language")</f>
        <v>language</v>
      </c>
      <c r="C10" s="3" t="str">
        <f ca="1">IFERROR(__xludf.DUMMYFUNCTION("""COMPUTED_VALUE"""),"Primary Language")</f>
        <v>Primary Language</v>
      </c>
      <c r="D10" s="6" t="s">
        <v>18</v>
      </c>
      <c r="E10" s="3" t="str">
        <f ca="1">IFERROR(__xludf.DUMMYFUNCTION("GOOGLETRANSLATE(C10,""en"",""de"")"),"Muttersprache")</f>
        <v>Muttersprache</v>
      </c>
      <c r="F10" s="3" t="str">
        <f ca="1">IFERROR(__xludf.DUMMYFUNCTION("GOOGLETRANSLATE(C10,""en"",""fr"")"),"Langue principale")</f>
        <v>Langue principale</v>
      </c>
      <c r="G10" s="3" t="str">
        <f ca="1">IFERROR(__xludf.DUMMYFUNCTION("GOOGLETRANSLATE(C10,""en"",""es"")"),"Lenguaje primario")</f>
        <v>Lenguaje primario</v>
      </c>
      <c r="H10" s="3" t="str">
        <f ca="1">IFERROR(__xludf.DUMMYFUNCTION("GOOGLETRANSLATE($C10,""en"",""it"")"),"Lingua madre")</f>
        <v>Lingua madre</v>
      </c>
      <c r="I10" s="3" t="str">
        <f ca="1">IFERROR(__xludf.DUMMYFUNCTION("GOOGLETRANSLATE($C10,""en"",""zh-cn"")"),"主要语言")</f>
        <v>主要语言</v>
      </c>
      <c r="J10" s="3" t="str">
        <f ca="1">IFERROR(__xludf.DUMMYFUNCTION("GOOGLETRANSLATE($C10,""en"",""ja"")"),"第一言語")</f>
        <v>第一言語</v>
      </c>
      <c r="K10" s="3" t="str">
        <f ca="1">IFERROR(__xludf.DUMMYFUNCTION("GOOGLETRANSLATE($C10,""en"",""ko"")"),"기본 언어")</f>
        <v>기본 언어</v>
      </c>
      <c r="L10" s="3" t="str">
        <f ca="1">IFERROR(__xludf.DUMMYFUNCTION("GOOGLETRANSLATE($C10,""en"",""pt-BR"")"),"Idioma principal")</f>
        <v>Idioma principal</v>
      </c>
    </row>
    <row r="11" spans="1:18" ht="15.75" customHeight="1" x14ac:dyDescent="0.15">
      <c r="A11" s="3" t="str">
        <f ca="1">IFERROR(__xludf.DUMMYFUNCTION("""COMPUTED_VALUE"""),"HCP")</f>
        <v>HCP</v>
      </c>
      <c r="B11" s="3" t="str">
        <f ca="1">IFERROR(__xludf.DUMMYFUNCTION("""COMPUTED_VALUE"""),"email")</f>
        <v>email</v>
      </c>
      <c r="C11" s="3" t="str">
        <f ca="1">IFERROR(__xludf.DUMMYFUNCTION("""COMPUTED_VALUE"""),"Primary Email")</f>
        <v>Primary Email</v>
      </c>
      <c r="D11" s="3" t="s">
        <v>16</v>
      </c>
      <c r="E11" s="3" t="str">
        <f ca="1">IFERROR(__xludf.DUMMYFUNCTION("GOOGLETRANSLATE(C11,""en"",""de"")"),"Erste Email")</f>
        <v>Erste Email</v>
      </c>
      <c r="F11" s="3" t="str">
        <f ca="1">IFERROR(__xludf.DUMMYFUNCTION("GOOGLETRANSLATE(C11,""en"",""fr"")"),"E-mail principal")</f>
        <v>E-mail principal</v>
      </c>
      <c r="G11" s="3" t="str">
        <f ca="1">IFERROR(__xludf.DUMMYFUNCTION("GOOGLETRANSLATE(C11,""en"",""es"")"),"Correo electrónico principal")</f>
        <v>Correo electrónico principal</v>
      </c>
      <c r="H11" s="3" t="str">
        <f ca="1">IFERROR(__xludf.DUMMYFUNCTION("GOOGLETRANSLATE($C11,""en"",""it"")"),"E-mail primario")</f>
        <v>E-mail primario</v>
      </c>
      <c r="I11" s="3" t="str">
        <f ca="1">IFERROR(__xludf.DUMMYFUNCTION("GOOGLETRANSLATE($C11,""en"",""zh-cn"")"),"主要邮箱")</f>
        <v>主要邮箱</v>
      </c>
      <c r="J11" s="3" t="str">
        <f ca="1">IFERROR(__xludf.DUMMYFUNCTION("GOOGLETRANSLATE($C11,""en"",""ja"")"),"主に使用するメールアドレス")</f>
        <v>主に使用するメールアドレス</v>
      </c>
      <c r="K11" s="3" t="str">
        <f ca="1">IFERROR(__xludf.DUMMYFUNCTION("GOOGLETRANSLATE($C11,""en"",""ko"")"),"기본 이메일")</f>
        <v>기본 이메일</v>
      </c>
      <c r="L11" s="3" t="str">
        <f ca="1">IFERROR(__xludf.DUMMYFUNCTION("GOOGLETRANSLATE($C11,""en"",""pt-BR"")"),"E-mail primário")</f>
        <v>E-mail primário</v>
      </c>
    </row>
    <row r="12" spans="1:18" ht="15.75" customHeight="1" x14ac:dyDescent="0.15">
      <c r="A12" s="3" t="str">
        <f ca="1">IFERROR(__xludf.DUMMYFUNCTION("""COMPUTED_VALUE"""),"HCP")</f>
        <v>HCP</v>
      </c>
      <c r="B12" s="3" t="str">
        <f ca="1">IFERROR(__xludf.DUMMYFUNCTION("""COMPUTED_VALUE"""),"mobile_phone")</f>
        <v>mobile_phone</v>
      </c>
      <c r="C12" s="3" t="str">
        <f ca="1">IFERROR(__xludf.DUMMYFUNCTION("""COMPUTED_VALUE"""),"Mobile Phone")</f>
        <v>Mobile Phone</v>
      </c>
      <c r="D12" s="3" t="s">
        <v>16</v>
      </c>
      <c r="E12" s="3" t="str">
        <f ca="1">IFERROR(__xludf.DUMMYFUNCTION("GOOGLETRANSLATE(C12,""en"",""de"")"),"Mobiltelefon")</f>
        <v>Mobiltelefon</v>
      </c>
      <c r="F12" s="3" t="str">
        <f ca="1">IFERROR(__xludf.DUMMYFUNCTION("GOOGLETRANSLATE(C12,""en"",""fr"")"),"Téléphone mobile")</f>
        <v>Téléphone mobile</v>
      </c>
      <c r="G12" s="3" t="str">
        <f ca="1">IFERROR(__xludf.DUMMYFUNCTION("GOOGLETRANSLATE(C12,""en"",""es"")"),"Teléfono móvil")</f>
        <v>Teléfono móvil</v>
      </c>
      <c r="H12" s="3" t="str">
        <f ca="1">IFERROR(__xludf.DUMMYFUNCTION("GOOGLETRANSLATE($C12,""en"",""it"")"),"Cellulare")</f>
        <v>Cellulare</v>
      </c>
      <c r="I12" s="3" t="str">
        <f ca="1">IFERROR(__xludf.DUMMYFUNCTION("GOOGLETRANSLATE($C12,""en"",""zh-cn"")"),"手机")</f>
        <v>手机</v>
      </c>
      <c r="J12" s="3" t="str">
        <f ca="1">IFERROR(__xludf.DUMMYFUNCTION("GOOGLETRANSLATE($C12,""en"",""ja"")"),"携帯電話")</f>
        <v>携帯電話</v>
      </c>
      <c r="K12" s="3" t="str">
        <f ca="1">IFERROR(__xludf.DUMMYFUNCTION("GOOGLETRANSLATE($C12,""en"",""ko"")"),"휴대전화")</f>
        <v>휴대전화</v>
      </c>
      <c r="L12" s="3" t="str">
        <f ca="1">IFERROR(__xludf.DUMMYFUNCTION("GOOGLETRANSLATE($C12,""en"",""pt-BR"")"),"Celular")</f>
        <v>Celular</v>
      </c>
    </row>
    <row r="13" spans="1:18" ht="15.75" customHeight="1" x14ac:dyDescent="0.15">
      <c r="A13" s="3" t="str">
        <f ca="1">IFERROR(__xludf.DUMMYFUNCTION("""COMPUTED_VALUE"""),"HCP")</f>
        <v>HCP</v>
      </c>
      <c r="B13" s="3" t="str">
        <f ca="1">IFERROR(__xludf.DUMMYFUNCTION("""COMPUTED_VALUE"""),"office_phone")</f>
        <v>office_phone</v>
      </c>
      <c r="C13" s="3" t="str">
        <f ca="1">IFERROR(__xludf.DUMMYFUNCTION("""COMPUTED_VALUE"""),"Office Phone")</f>
        <v>Office Phone</v>
      </c>
      <c r="D13" s="3" t="s">
        <v>16</v>
      </c>
      <c r="E13" s="3" t="str">
        <f ca="1">IFERROR(__xludf.DUMMYFUNCTION("GOOGLETRANSLATE(C13,""en"",""de"")"),"Bürotelefon")</f>
        <v>Bürotelefon</v>
      </c>
      <c r="F13" s="3" t="str">
        <f ca="1">IFERROR(__xludf.DUMMYFUNCTION("GOOGLETRANSLATE(C13,""en"",""fr"")"),"Téléphone de bureau")</f>
        <v>Téléphone de bureau</v>
      </c>
      <c r="G13" s="3" t="str">
        <f ca="1">IFERROR(__xludf.DUMMYFUNCTION("GOOGLETRANSLATE(C13,""en"",""es"")"),"Telefono de oficina")</f>
        <v>Telefono de oficina</v>
      </c>
      <c r="H13" s="3" t="str">
        <f ca="1">IFERROR(__xludf.DUMMYFUNCTION("GOOGLETRANSLATE($C13,""en"",""it"")"),"Telefono dell'ufficio")</f>
        <v>Telefono dell'ufficio</v>
      </c>
      <c r="I13" s="3" t="str">
        <f ca="1">IFERROR(__xludf.DUMMYFUNCTION("GOOGLETRANSLATE($C13,""en"",""zh-cn"")"),"办公室电话")</f>
        <v>办公室电话</v>
      </c>
      <c r="J13" s="3" t="str">
        <f ca="1">IFERROR(__xludf.DUMMYFUNCTION("GOOGLETRANSLATE($C13,""en"",""ja"")"),"オフィスの電話")</f>
        <v>オフィスの電話</v>
      </c>
      <c r="K13" s="3" t="str">
        <f ca="1">IFERROR(__xludf.DUMMYFUNCTION("GOOGLETRANSLATE($C13,""en"",""ko"")"),"사무실 전화")</f>
        <v>사무실 전화</v>
      </c>
      <c r="L13" s="3" t="str">
        <f ca="1">IFERROR(__xludf.DUMMYFUNCTION("GOOGLETRANSLATE($C13,""en"",""pt-BR"")"),"Telefone Comercial")</f>
        <v>Telefone Comercial</v>
      </c>
    </row>
    <row r="14" spans="1:18" ht="15.75" customHeight="1" x14ac:dyDescent="0.15">
      <c r="A14" s="3" t="str">
        <f ca="1">IFERROR(__xludf.DUMMYFUNCTION("""COMPUTED_VALUE"""),"HCP")</f>
        <v>HCP</v>
      </c>
      <c r="B14" s="3" t="str">
        <f ca="1">IFERROR(__xludf.DUMMYFUNCTION("""COMPUTED_VALUE"""),"fax")</f>
        <v>fax</v>
      </c>
      <c r="C14" s="3" t="str">
        <f ca="1">IFERROR(__xludf.DUMMYFUNCTION("""COMPUTED_VALUE"""),"Fax")</f>
        <v>Fax</v>
      </c>
      <c r="D14" s="3" t="s">
        <v>16</v>
      </c>
      <c r="E14" s="3" t="str">
        <f ca="1">IFERROR(__xludf.DUMMYFUNCTION("GOOGLETRANSLATE(C14,""en"",""de"")"),"Fax")</f>
        <v>Fax</v>
      </c>
      <c r="F14" s="3" t="str">
        <f ca="1">IFERROR(__xludf.DUMMYFUNCTION("GOOGLETRANSLATE(C14,""en"",""fr"")"),"Fax")</f>
        <v>Fax</v>
      </c>
      <c r="G14" s="3" t="str">
        <f ca="1">IFERROR(__xludf.DUMMYFUNCTION("GOOGLETRANSLATE(C14,""en"",""es"")"),"Fax")</f>
        <v>Fax</v>
      </c>
      <c r="H14" s="3" t="str">
        <f ca="1">IFERROR(__xludf.DUMMYFUNCTION("GOOGLETRANSLATE($C14,""en"",""it"")"),"Fax")</f>
        <v>Fax</v>
      </c>
      <c r="I14" s="3" t="str">
        <f ca="1">IFERROR(__xludf.DUMMYFUNCTION("GOOGLETRANSLATE($C14,""en"",""zh-cn"")"),"传真")</f>
        <v>传真</v>
      </c>
      <c r="J14" s="3" t="str">
        <f ca="1">IFERROR(__xludf.DUMMYFUNCTION("GOOGLETRANSLATE($C14,""en"",""ja"")"),"ファックス")</f>
        <v>ファックス</v>
      </c>
      <c r="K14" s="3" t="str">
        <f ca="1">IFERROR(__xludf.DUMMYFUNCTION("GOOGLETRANSLATE($C14,""en"",""ko"")"),"팩스")</f>
        <v>팩스</v>
      </c>
      <c r="L14" s="3" t="str">
        <f ca="1">IFERROR(__xludf.DUMMYFUNCTION("GOOGLETRANSLATE($C14,""en"",""pt-BR"")"),"Fax")</f>
        <v>Fax</v>
      </c>
    </row>
    <row r="15" spans="1:18" ht="15.75" customHeight="1" x14ac:dyDescent="0.15">
      <c r="A15" s="3" t="str">
        <f ca="1">IFERROR(__xludf.DUMMYFUNCTION("""COMPUTED_VALUE"""),"HCP")</f>
        <v>HCP</v>
      </c>
      <c r="B15" s="3" t="str">
        <f ca="1">IFERROR(__xludf.DUMMYFUNCTION("""COMPUTED_VALUE"""),"country")</f>
        <v>country</v>
      </c>
      <c r="C15" s="3" t="str">
        <f ca="1">IFERROR(__xludf.DUMMYFUNCTION("""COMPUTED_VALUE"""),"Primary Country")</f>
        <v>Primary Country</v>
      </c>
      <c r="D15" s="6" t="s">
        <v>19</v>
      </c>
      <c r="E15" s="3" t="str">
        <f ca="1">IFERROR(__xludf.DUMMYFUNCTION("GOOGLETRANSLATE(C15,""en"",""de"")"),"Primäres Land")</f>
        <v>Primäres Land</v>
      </c>
      <c r="F15" s="3" t="str">
        <f ca="1">IFERROR(__xludf.DUMMYFUNCTION("GOOGLETRANSLATE(C15,""en"",""fr"")"),"Pays principal")</f>
        <v>Pays principal</v>
      </c>
      <c r="G15" s="3" t="str">
        <f ca="1">IFERROR(__xludf.DUMMYFUNCTION("GOOGLETRANSLATE(C15,""en"",""es"")"),"País primario")</f>
        <v>País primario</v>
      </c>
      <c r="H15" s="3" t="str">
        <f ca="1">IFERROR(__xludf.DUMMYFUNCTION("GOOGLETRANSLATE($C15,""en"",""it"")"),"Paese principale")</f>
        <v>Paese principale</v>
      </c>
      <c r="I15" s="3" t="str">
        <f ca="1">IFERROR(__xludf.DUMMYFUNCTION("GOOGLETRANSLATE($C15,""en"",""zh-cn"")"),"主要国家")</f>
        <v>主要国家</v>
      </c>
      <c r="J15" s="3" t="str">
        <f ca="1">IFERROR(__xludf.DUMMYFUNCTION("GOOGLETRANSLATE($C15,""en"",""ja"")"),"主な国")</f>
        <v>主な国</v>
      </c>
      <c r="K15" s="3" t="str">
        <f ca="1">IFERROR(__xludf.DUMMYFUNCTION("GOOGLETRANSLATE($C15,""en"",""ko"")"),"기본 국가")</f>
        <v>기본 국가</v>
      </c>
      <c r="L15" s="3" t="str">
        <f ca="1">IFERROR(__xludf.DUMMYFUNCTION("GOOGLETRANSLATE($C15,""en"",""pt-BR"")"),"País principal")</f>
        <v>País principal</v>
      </c>
    </row>
    <row r="16" spans="1:18" ht="15.75" customHeight="1" x14ac:dyDescent="0.15">
      <c r="A16" s="3" t="str">
        <f ca="1">IFERROR(__xludf.DUMMYFUNCTION("""COMPUTED_VALUE"""),"HCP")</f>
        <v>HCP</v>
      </c>
      <c r="B16" s="3" t="str">
        <f ca="1">IFERROR(__xludf.DUMMYFUNCTION("""COMPUTED_VALUE"""),"state")</f>
        <v>state</v>
      </c>
      <c r="C16" s="3" t="str">
        <f ca="1">IFERROR(__xludf.DUMMYFUNCTION("""COMPUTED_VALUE"""),"Primary State")</f>
        <v>Primary State</v>
      </c>
      <c r="D16" s="6" t="s">
        <v>20</v>
      </c>
      <c r="E16" s="3" t="str">
        <f ca="1">IFERROR(__xludf.DUMMYFUNCTION("GOOGLETRANSLATE(C16,""en"",""de"")"),"Primärstaat")</f>
        <v>Primärstaat</v>
      </c>
      <c r="F16" s="3" t="str">
        <f ca="1">IFERROR(__xludf.DUMMYFUNCTION("GOOGLETRANSLATE(C16,""en"",""fr"")"),"État primaire")</f>
        <v>État primaire</v>
      </c>
      <c r="G16" s="3" t="str">
        <f ca="1">IFERROR(__xludf.DUMMYFUNCTION("GOOGLETRANSLATE(C16,""en"",""es"")"),"Estado primario")</f>
        <v>Estado primario</v>
      </c>
      <c r="H16" s="3" t="str">
        <f ca="1">IFERROR(__xludf.DUMMYFUNCTION("GOOGLETRANSLATE($C16,""en"",""it"")"),"Stato primario")</f>
        <v>Stato primario</v>
      </c>
      <c r="I16" s="3" t="str">
        <f ca="1">IFERROR(__xludf.DUMMYFUNCTION("GOOGLETRANSLATE($C16,""en"",""zh-cn"")"),"主要状态")</f>
        <v>主要状态</v>
      </c>
      <c r="J16" s="3" t="str">
        <f ca="1">IFERROR(__xludf.DUMMYFUNCTION("GOOGLETRANSLATE($C16,""en"",""ja"")"),"プライマリ状態")</f>
        <v>プライマリ状態</v>
      </c>
      <c r="K16" s="3" t="str">
        <f ca="1">IFERROR(__xludf.DUMMYFUNCTION("GOOGLETRANSLATE($C16,""en"",""ko"")"),"기본 상태")</f>
        <v>기본 상태</v>
      </c>
      <c r="L16" s="3" t="str">
        <f ca="1">IFERROR(__xludf.DUMMYFUNCTION("GOOGLETRANSLATE($C16,""en"",""pt-BR"")"),"Estado Primário")</f>
        <v>Estado Primário</v>
      </c>
    </row>
    <row r="17" spans="1:12" ht="15.75" customHeight="1" x14ac:dyDescent="0.15">
      <c r="A17" s="3" t="str">
        <f ca="1">IFERROR(__xludf.DUMMYFUNCTION("""COMPUTED_VALUE"""),"HCP")</f>
        <v>HCP</v>
      </c>
      <c r="B17" s="3" t="str">
        <f ca="1">IFERROR(__xludf.DUMMYFUNCTION("""COMPUTED_VALUE"""),"city")</f>
        <v>city</v>
      </c>
      <c r="C17" s="3" t="str">
        <f ca="1">IFERROR(__xludf.DUMMYFUNCTION("""COMPUTED_VALUE"""),"Primary City")</f>
        <v>Primary City</v>
      </c>
      <c r="D17" s="3" t="s">
        <v>16</v>
      </c>
      <c r="E17" s="3" t="str">
        <f ca="1">IFERROR(__xludf.DUMMYFUNCTION("GOOGLETRANSLATE(C17,""en"",""de"")"),"Primäre Stadt")</f>
        <v>Primäre Stadt</v>
      </c>
      <c r="F17" s="3" t="str">
        <f ca="1">IFERROR(__xludf.DUMMYFUNCTION("GOOGLETRANSLATE(C17,""en"",""fr"")"),"Ville principale")</f>
        <v>Ville principale</v>
      </c>
      <c r="G17" s="3" t="str">
        <f ca="1">IFERROR(__xludf.DUMMYFUNCTION("GOOGLETRANSLATE(C17,""en"",""es"")"),"Ciudad Primaria")</f>
        <v>Ciudad Primaria</v>
      </c>
      <c r="H17" s="3" t="str">
        <f ca="1">IFERROR(__xludf.DUMMYFUNCTION("GOOGLETRANSLATE($C17,""en"",""it"")"),"Città primaria")</f>
        <v>Città primaria</v>
      </c>
      <c r="I17" s="3" t="str">
        <f ca="1">IFERROR(__xludf.DUMMYFUNCTION("GOOGLETRANSLATE($C17,""en"",""zh-cn"")"),"主要城市")</f>
        <v>主要城市</v>
      </c>
      <c r="J17" s="3" t="str">
        <f ca="1">IFERROR(__xludf.DUMMYFUNCTION("GOOGLETRANSLATE($C17,""en"",""ja"")"),"主要都市")</f>
        <v>主要都市</v>
      </c>
      <c r="K17" s="3" t="str">
        <f ca="1">IFERROR(__xludf.DUMMYFUNCTION("GOOGLETRANSLATE($C17,""en"",""ko"")"),"기본 도시")</f>
        <v>기본 도시</v>
      </c>
      <c r="L17" s="3" t="str">
        <f ca="1">IFERROR(__xludf.DUMMYFUNCTION("GOOGLETRANSLATE($C17,""en"",""pt-BR"")"),"Cidade Primária")</f>
        <v>Cidade Primária</v>
      </c>
    </row>
    <row r="18" spans="1:12" ht="15.75" customHeight="1" x14ac:dyDescent="0.15">
      <c r="A18" s="3" t="str">
        <f ca="1">IFERROR(__xludf.DUMMYFUNCTION("""COMPUTED_VALUE"""),"HCP")</f>
        <v>HCP</v>
      </c>
      <c r="B18" s="3" t="str">
        <f ca="1">IFERROR(__xludf.DUMMYFUNCTION("""COMPUTED_VALUE"""),"postal_code")</f>
        <v>postal_code</v>
      </c>
      <c r="C18" s="3" t="str">
        <f ca="1">IFERROR(__xludf.DUMMYFUNCTION("""COMPUTED_VALUE"""),"Primary Postal Code")</f>
        <v>Primary Postal Code</v>
      </c>
      <c r="D18" s="3" t="s">
        <v>16</v>
      </c>
      <c r="E18" s="3" t="str">
        <f ca="1">IFERROR(__xludf.DUMMYFUNCTION("GOOGLETRANSLATE(C18,""en"",""de"")"),"Primäre Postleitzahl")</f>
        <v>Primäre Postleitzahl</v>
      </c>
      <c r="F18" s="3" t="str">
        <f ca="1">IFERROR(__xludf.DUMMYFUNCTION("GOOGLETRANSLATE(C18,""en"",""fr"")"),"Code postal principal")</f>
        <v>Code postal principal</v>
      </c>
      <c r="G18" s="3" t="str">
        <f ca="1">IFERROR(__xludf.DUMMYFUNCTION("GOOGLETRANSLATE(C18,""en"",""es"")"),"Código postal primario")</f>
        <v>Código postal primario</v>
      </c>
      <c r="H18" s="3" t="str">
        <f ca="1">IFERROR(__xludf.DUMMYFUNCTION("GOOGLETRANSLATE($C18,""en"",""it"")"),"Codice postale principale")</f>
        <v>Codice postale principale</v>
      </c>
      <c r="I18" s="3" t="str">
        <f ca="1">IFERROR(__xludf.DUMMYFUNCTION("GOOGLETRANSLATE($C18,""en"",""zh-cn"")"),"主要邮政编码")</f>
        <v>主要邮政编码</v>
      </c>
      <c r="J18" s="3" t="str">
        <f ca="1">IFERROR(__xludf.DUMMYFUNCTION("GOOGLETRANSLATE($C18,""en"",""ja"")"),"主な郵便番号")</f>
        <v>主な郵便番号</v>
      </c>
      <c r="K18" s="3" t="str">
        <f ca="1">IFERROR(__xludf.DUMMYFUNCTION("GOOGLETRANSLATE($C18,""en"",""ko"")"),"기본 우편번호")</f>
        <v>기본 우편번호</v>
      </c>
      <c r="L18" s="3" t="str">
        <f ca="1">IFERROR(__xludf.DUMMYFUNCTION("GOOGLETRANSLATE($C18,""en"",""pt-BR"")"),"Código Postal Primário")</f>
        <v>Código Postal Primário</v>
      </c>
    </row>
    <row r="19" spans="1:12" ht="15.75" customHeight="1" x14ac:dyDescent="0.15">
      <c r="A19" s="3" t="str">
        <f ca="1">IFERROR(__xludf.DUMMYFUNCTION("""COMPUTED_VALUE"""),"HCP")</f>
        <v>HCP</v>
      </c>
      <c r="B19" s="3" t="str">
        <f ca="1">IFERROR(__xludf.DUMMYFUNCTION("""COMPUTED_VALUE"""),"hcp_type")</f>
        <v>hcp_type</v>
      </c>
      <c r="C19" s="3" t="str">
        <f ca="1">IFERROR(__xludf.DUMMYFUNCTION("""COMPUTED_VALUE"""),"Type")</f>
        <v>Type</v>
      </c>
      <c r="D19" s="6" t="s">
        <v>21</v>
      </c>
      <c r="E19" s="3" t="str">
        <f ca="1">IFERROR(__xludf.DUMMYFUNCTION("GOOGLETRANSLATE(C19,""en"",""de"")"),"Typ")</f>
        <v>Typ</v>
      </c>
      <c r="F19" s="3" t="str">
        <f ca="1">IFERROR(__xludf.DUMMYFUNCTION("GOOGLETRANSLATE(C19,""en"",""fr"")"),"Taper")</f>
        <v>Taper</v>
      </c>
      <c r="G19" s="3" t="str">
        <f ca="1">IFERROR(__xludf.DUMMYFUNCTION("GOOGLETRANSLATE(C19,""en"",""es"")"),"Tipo")</f>
        <v>Tipo</v>
      </c>
      <c r="H19" s="3" t="str">
        <f ca="1">IFERROR(__xludf.DUMMYFUNCTION("GOOGLETRANSLATE($C19,""en"",""it"")"),"Tipo")</f>
        <v>Tipo</v>
      </c>
      <c r="I19" s="3" t="str">
        <f ca="1">IFERROR(__xludf.DUMMYFUNCTION("GOOGLETRANSLATE($C19,""en"",""zh-cn"")"),"类型")</f>
        <v>类型</v>
      </c>
      <c r="J19" s="3" t="str">
        <f ca="1">IFERROR(__xludf.DUMMYFUNCTION("GOOGLETRANSLATE($C19,""en"",""ja"")"),"タイプ")</f>
        <v>タイプ</v>
      </c>
      <c r="K19" s="3" t="str">
        <f ca="1">IFERROR(__xludf.DUMMYFUNCTION("GOOGLETRANSLATE($C19,""en"",""ko"")"),"유형")</f>
        <v>유형</v>
      </c>
      <c r="L19" s="3" t="str">
        <f ca="1">IFERROR(__xludf.DUMMYFUNCTION("GOOGLETRANSLATE($C19,""en"",""pt-BR"")"),"Tipo")</f>
        <v>Tipo</v>
      </c>
    </row>
    <row r="20" spans="1:12" ht="15.75" customHeight="1" x14ac:dyDescent="0.15">
      <c r="A20" s="3" t="str">
        <f ca="1">IFERROR(__xludf.DUMMYFUNCTION("""COMPUTED_VALUE"""),"HCP")</f>
        <v>HCP</v>
      </c>
      <c r="B20" s="3" t="str">
        <f ca="1">IFERROR(__xludf.DUMMYFUNCTION("""COMPUTED_VALUE"""),"nhid")</f>
        <v>nhid</v>
      </c>
      <c r="C20" s="3" t="str">
        <f ca="1">IFERROR(__xludf.DUMMYFUNCTION("""COMPUTED_VALUE"""),"National Healthcare ID")</f>
        <v>National Healthcare ID</v>
      </c>
      <c r="D20" s="3" t="s">
        <v>16</v>
      </c>
      <c r="E20" s="3" t="str">
        <f ca="1">IFERROR(__xludf.DUMMYFUNCTION("GOOGLETRANSLATE(C20,""en"",""de"")"),"Nationaler Gesundheitsausweis")</f>
        <v>Nationaler Gesundheitsausweis</v>
      </c>
      <c r="F20" s="3" t="str">
        <f ca="1">IFERROR(__xludf.DUMMYFUNCTION("GOOGLETRANSLATE(C20,""en"",""fr"")"),"Carte d'identité nationale de santé")</f>
        <v>Carte d'identité nationale de santé</v>
      </c>
      <c r="G20" s="3" t="str">
        <f ca="1">IFERROR(__xludf.DUMMYFUNCTION("GOOGLETRANSLATE(C20,""en"",""es"")"),"Identificación Nacional de Salud")</f>
        <v>Identificación Nacional de Salud</v>
      </c>
      <c r="H20" s="3" t="str">
        <f ca="1">IFERROR(__xludf.DUMMYFUNCTION("GOOGLETRANSLATE($C20,""en"",""it"")"),"Tessera Sanitaria Nazionale")</f>
        <v>Tessera Sanitaria Nazionale</v>
      </c>
      <c r="I20" s="3" t="str">
        <f ca="1">IFERROR(__xludf.DUMMYFUNCTION("GOOGLETRANSLATE($C20,""en"",""zh-cn"")"),"国家医疗保健 ID")</f>
        <v>国家医疗保健 ID</v>
      </c>
      <c r="J20" s="3" t="str">
        <f ca="1">IFERROR(__xludf.DUMMYFUNCTION("GOOGLETRANSLATE($C20,""en"",""ja"")"),"国民健康保険ID")</f>
        <v>国民健康保険ID</v>
      </c>
      <c r="K20" s="3" t="str">
        <f ca="1">IFERROR(__xludf.DUMMYFUNCTION("GOOGLETRANSLATE($C20,""en"",""ko"")"),"국민건강보험 ID")</f>
        <v>국민건강보험 ID</v>
      </c>
      <c r="L20" s="3" t="str">
        <f ca="1">IFERROR(__xludf.DUMMYFUNCTION("GOOGLETRANSLATE($C20,""en"",""pt-BR"")"),"ID Nacional de Saúde")</f>
        <v>ID Nacional de Saúde</v>
      </c>
    </row>
    <row r="21" spans="1:12" ht="15.75" customHeight="1" x14ac:dyDescent="0.15">
      <c r="A21" s="3" t="str">
        <f ca="1">IFERROR(__xludf.DUMMYFUNCTION("""COMPUTED_VALUE"""),"HCP")</f>
        <v>HCP</v>
      </c>
      <c r="B21" s="3" t="str">
        <f ca="1">IFERROR(__xludf.DUMMYFUNCTION("""COMPUTED_VALUE"""),"spec_1")</f>
        <v>spec_1</v>
      </c>
      <c r="C21" s="3" t="str">
        <f ca="1">IFERROR(__xludf.DUMMYFUNCTION("""COMPUTED_VALUE"""),"Primary Speciality")</f>
        <v>Primary Speciality</v>
      </c>
      <c r="D21" s="6" t="s">
        <v>22</v>
      </c>
      <c r="E21" s="3" t="str">
        <f ca="1">IFERROR(__xludf.DUMMYFUNCTION("GOOGLETRANSLATE(C21,""en"",""de"")"),"Primäre Spezialität")</f>
        <v>Primäre Spezialität</v>
      </c>
      <c r="F21" s="3" t="str">
        <f ca="1">IFERROR(__xludf.DUMMYFUNCTION("GOOGLETRANSLATE(C21,""en"",""fr"")"),"Spécialité primaire")</f>
        <v>Spécialité primaire</v>
      </c>
      <c r="G21" s="3" t="str">
        <f ca="1">IFERROR(__xludf.DUMMYFUNCTION("GOOGLETRANSLATE(C21,""en"",""es"")"),"Especialidad Primaria")</f>
        <v>Especialidad Primaria</v>
      </c>
      <c r="H21" s="3" t="str">
        <f ca="1">IFERROR(__xludf.DUMMYFUNCTION("GOOGLETRANSLATE($C21,""en"",""it"")"),"Specialità primaria")</f>
        <v>Specialità primaria</v>
      </c>
      <c r="I21" s="3" t="str">
        <f ca="1">IFERROR(__xludf.DUMMYFUNCTION("GOOGLETRANSLATE($C21,""en"",""zh-cn"")"),"主要专业")</f>
        <v>主要专业</v>
      </c>
      <c r="J21" s="3" t="str">
        <f ca="1">IFERROR(__xludf.DUMMYFUNCTION("GOOGLETRANSLATE($C21,""en"",""ja"")"),"主な専門分野")</f>
        <v>主な専門分野</v>
      </c>
      <c r="K21" s="3" t="str">
        <f ca="1">IFERROR(__xludf.DUMMYFUNCTION("GOOGLETRANSLATE($C21,""en"",""ko"")"),"주요 전문 분야")</f>
        <v>주요 전문 분야</v>
      </c>
      <c r="L21" s="3" t="str">
        <f ca="1">IFERROR(__xludf.DUMMYFUNCTION("GOOGLETRANSLATE($C21,""en"",""pt-BR"")"),"Especialidade Primária")</f>
        <v>Especialidade Primária</v>
      </c>
    </row>
    <row r="22" spans="1:12" ht="15.75" customHeight="1" x14ac:dyDescent="0.15">
      <c r="A22" s="3" t="str">
        <f ca="1">IFERROR(__xludf.DUMMYFUNCTION("""COMPUTED_VALUE"""),"HCP")</f>
        <v>HCP</v>
      </c>
      <c r="B22" s="3" t="str">
        <f ca="1">IFERROR(__xludf.DUMMYFUNCTION("""COMPUTED_VALUE"""),"all_spec")</f>
        <v>all_spec</v>
      </c>
      <c r="C22" s="3" t="str">
        <f ca="1">IFERROR(__xludf.DUMMYFUNCTION("""COMPUTED_VALUE"""),"All Specialties")</f>
        <v>All Specialties</v>
      </c>
      <c r="D22" s="6" t="s">
        <v>22</v>
      </c>
      <c r="E22" s="3" t="str">
        <f ca="1">IFERROR(__xludf.DUMMYFUNCTION("GOOGLETRANSLATE(C22,""en"",""de"")"),"Alle Spezialitäten")</f>
        <v>Alle Spezialitäten</v>
      </c>
      <c r="F22" s="3" t="str">
        <f ca="1">IFERROR(__xludf.DUMMYFUNCTION("GOOGLETRANSLATE(C22,""en"",""fr"")"),"Toutes les spécialités")</f>
        <v>Toutes les spécialités</v>
      </c>
      <c r="G22" s="3" t="str">
        <f ca="1">IFERROR(__xludf.DUMMYFUNCTION("GOOGLETRANSLATE(C22,""en"",""es"")"),"Todas las especialidades")</f>
        <v>Todas las especialidades</v>
      </c>
      <c r="H22" s="3" t="str">
        <f ca="1">IFERROR(__xludf.DUMMYFUNCTION("GOOGLETRANSLATE($C22,""en"",""it"")"),"Tutte le specialità")</f>
        <v>Tutte le specialità</v>
      </c>
      <c r="I22" s="3" t="str">
        <f ca="1">IFERROR(__xludf.DUMMYFUNCTION("GOOGLETRANSLATE($C22,""en"",""zh-cn"")"),"所有专业")</f>
        <v>所有专业</v>
      </c>
      <c r="J22" s="3" t="str">
        <f ca="1">IFERROR(__xludf.DUMMYFUNCTION("GOOGLETRANSLATE($C22,""en"",""ja"")"),"すべての専門分野")</f>
        <v>すべての専門分野</v>
      </c>
      <c r="K22" s="3" t="str">
        <f ca="1">IFERROR(__xludf.DUMMYFUNCTION("GOOGLETRANSLATE($C22,""en"",""ko"")"),"모든 특산품")</f>
        <v>모든 특산품</v>
      </c>
      <c r="L22" s="3" t="str">
        <f ca="1">IFERROR(__xludf.DUMMYFUNCTION("GOOGLETRANSLATE($C22,""en"",""pt-BR"")"),"Todas as especialidades")</f>
        <v>Todas as especialidades</v>
      </c>
    </row>
    <row r="23" spans="1:12" ht="15.75" customHeight="1" x14ac:dyDescent="0.15">
      <c r="A23" s="3" t="str">
        <f ca="1">IFERROR(__xludf.DUMMYFUNCTION("""COMPUTED_VALUE"""),"HCP")</f>
        <v>HCP</v>
      </c>
      <c r="B23" s="3" t="str">
        <f ca="1">IFERROR(__xludf.DUMMYFUNCTION("""COMPUTED_VALUE"""),"spec_group_1")</f>
        <v>spec_group_1</v>
      </c>
      <c r="C23" s="3" t="str">
        <f ca="1">IFERROR(__xludf.DUMMYFUNCTION("""COMPUTED_VALUE"""),"Primary Specialty Group")</f>
        <v>Primary Specialty Group</v>
      </c>
      <c r="D23" s="6" t="s">
        <v>23</v>
      </c>
      <c r="E23" s="3" t="str">
        <f ca="1">IFERROR(__xludf.DUMMYFUNCTION("GOOGLETRANSLATE(C23,""en"",""de"")"),"Primäre Spezialgruppe")</f>
        <v>Primäre Spezialgruppe</v>
      </c>
      <c r="F23" s="3" t="str">
        <f ca="1">IFERROR(__xludf.DUMMYFUNCTION("GOOGLETRANSLATE(C23,""en"",""fr"")"),"Groupe de spécialité primaire")</f>
        <v>Groupe de spécialité primaire</v>
      </c>
      <c r="G23" s="3" t="str">
        <f ca="1">IFERROR(__xludf.DUMMYFUNCTION("GOOGLETRANSLATE(C23,""en"",""es"")"),"Grupo de especialidad primaria")</f>
        <v>Grupo de especialidad primaria</v>
      </c>
      <c r="H23" s="3" t="str">
        <f ca="1">IFERROR(__xludf.DUMMYFUNCTION("GOOGLETRANSLATE($C23,""en"",""it"")"),"Gruppo di specialità primaria")</f>
        <v>Gruppo di specialità primaria</v>
      </c>
      <c r="I23" s="3" t="str">
        <f ca="1">IFERROR(__xludf.DUMMYFUNCTION("GOOGLETRANSLATE($C23,""en"",""zh-cn"")"),"初级专业组")</f>
        <v>初级专业组</v>
      </c>
      <c r="J23" s="3" t="str">
        <f ca="1">IFERROR(__xludf.DUMMYFUNCTION("GOOGLETRANSLATE($C23,""en"",""ja"")"),"主な専門グループ")</f>
        <v>主な専門グループ</v>
      </c>
      <c r="K23" s="3" t="str">
        <f ca="1">IFERROR(__xludf.DUMMYFUNCTION("GOOGLETRANSLATE($C23,""en"",""ko"")"),"1차 전문 그룹")</f>
        <v>1차 전문 그룹</v>
      </c>
      <c r="L23" s="3" t="str">
        <f ca="1">IFERROR(__xludf.DUMMYFUNCTION("GOOGLETRANSLATE($C23,""en"",""pt-BR"")"),"Grupo de Especialidade Primária")</f>
        <v>Grupo de Especialidade Primária</v>
      </c>
    </row>
    <row r="24" spans="1:12" ht="15.75" customHeight="1" x14ac:dyDescent="0.15">
      <c r="A24" s="3" t="str">
        <f ca="1">IFERROR(__xludf.DUMMYFUNCTION("""COMPUTED_VALUE"""),"HCP")</f>
        <v>HCP</v>
      </c>
      <c r="B24" s="3" t="str">
        <f ca="1">IFERROR(__xludf.DUMMYFUNCTION("""COMPUTED_VALUE"""),"all_spec_group")</f>
        <v>all_spec_group</v>
      </c>
      <c r="C24" s="3" t="str">
        <f ca="1">IFERROR(__xludf.DUMMYFUNCTION("""COMPUTED_VALUE"""),"All Specialty Groups")</f>
        <v>All Specialty Groups</v>
      </c>
      <c r="D24" s="6" t="s">
        <v>23</v>
      </c>
      <c r="E24" s="3" t="str">
        <f ca="1">IFERROR(__xludf.DUMMYFUNCTION("GOOGLETRANSLATE(C24,""en"",""de"")"),"Alle Fachgruppen")</f>
        <v>Alle Fachgruppen</v>
      </c>
      <c r="F24" s="3" t="str">
        <f ca="1">IFERROR(__xludf.DUMMYFUNCTION("GOOGLETRANSLATE(C24,""en"",""fr"")"),"Tous les groupes spécialisés")</f>
        <v>Tous les groupes spécialisés</v>
      </c>
      <c r="G24" s="3" t="str">
        <f ca="1">IFERROR(__xludf.DUMMYFUNCTION("GOOGLETRANSLATE(C24,""en"",""es"")"),"Todos los grupos de especialidad")</f>
        <v>Todos los grupos de especialidad</v>
      </c>
      <c r="H24" s="3" t="str">
        <f ca="1">IFERROR(__xludf.DUMMYFUNCTION("GOOGLETRANSLATE($C24,""en"",""it"")"),"Tutti i gruppi di specialità")</f>
        <v>Tutti i gruppi di specialità</v>
      </c>
      <c r="I24" s="3" t="str">
        <f ca="1">IFERROR(__xludf.DUMMYFUNCTION("GOOGLETRANSLATE($C24,""en"",""zh-cn"")"),"所有专业组")</f>
        <v>所有专业组</v>
      </c>
      <c r="J24" s="3" t="str">
        <f ca="1">IFERROR(__xludf.DUMMYFUNCTION("GOOGLETRANSLATE($C24,""en"",""ja"")"),"すべての専門グループ")</f>
        <v>すべての専門グループ</v>
      </c>
      <c r="K24" s="3" t="str">
        <f ca="1">IFERROR(__xludf.DUMMYFUNCTION("GOOGLETRANSLATE($C24,""en"",""ko"")"),"모든 전문 그룹")</f>
        <v>모든 전문 그룹</v>
      </c>
      <c r="L24" s="3" t="str">
        <f ca="1">IFERROR(__xludf.DUMMYFUNCTION("GOOGLETRANSLATE($C24,""en"",""pt-BR"")"),"Todos os grupos especializados")</f>
        <v>Todos os grupos especializados</v>
      </c>
    </row>
    <row r="25" spans="1:12" ht="15.75" customHeight="1" x14ac:dyDescent="0.15">
      <c r="A25" s="3" t="str">
        <f ca="1">IFERROR(__xludf.DUMMYFUNCTION("""COMPUTED_VALUE"""),"HCP")</f>
        <v>HCP</v>
      </c>
      <c r="B25" s="3" t="str">
        <f ca="1">IFERROR(__xludf.DUMMYFUNCTION("""COMPUTED_VALUE"""),"prescriber")</f>
        <v>prescriber</v>
      </c>
      <c r="C25" s="3" t="str">
        <f ca="1">IFERROR(__xludf.DUMMYFUNCTION("""COMPUTED_VALUE"""),"Prescriber")</f>
        <v>Prescriber</v>
      </c>
      <c r="D25" s="3" t="s">
        <v>16</v>
      </c>
      <c r="E25" s="3" t="str">
        <f ca="1">IFERROR(__xludf.DUMMYFUNCTION("GOOGLETRANSLATE(C25,""en"",""de"")"),"Verschreibender")</f>
        <v>Verschreibender</v>
      </c>
      <c r="F25" s="3" t="str">
        <f ca="1">IFERROR(__xludf.DUMMYFUNCTION("GOOGLETRANSLATE(C25,""en"",""fr"")"),"Prescripteur")</f>
        <v>Prescripteur</v>
      </c>
      <c r="G25" s="3" t="str">
        <f ca="1">IFERROR(__xludf.DUMMYFUNCTION("GOOGLETRANSLATE(C25,""en"",""es"")"),"Prescriptor")</f>
        <v>Prescriptor</v>
      </c>
      <c r="H25" s="3" t="str">
        <f ca="1">IFERROR(__xludf.DUMMYFUNCTION("GOOGLETRANSLATE($C25,""en"",""it"")"),"Prescrittore")</f>
        <v>Prescrittore</v>
      </c>
      <c r="I25" s="3" t="str">
        <f ca="1">IFERROR(__xludf.DUMMYFUNCTION("GOOGLETRANSLATE($C25,""en"",""zh-cn"")"),"处方者")</f>
        <v>处方者</v>
      </c>
      <c r="J25" s="3" t="str">
        <f ca="1">IFERROR(__xludf.DUMMYFUNCTION("GOOGLETRANSLATE($C25,""en"",""ja"")"),"処方者")</f>
        <v>処方者</v>
      </c>
      <c r="K25" s="3" t="str">
        <f ca="1">IFERROR(__xludf.DUMMYFUNCTION("GOOGLETRANSLATE($C25,""en"",""ko"")"),"처방자")</f>
        <v>처방자</v>
      </c>
      <c r="L25" s="3" t="str">
        <f ca="1">IFERROR(__xludf.DUMMYFUNCTION("GOOGLETRANSLATE($C25,""en"",""pt-BR"")"),"Prescritor")</f>
        <v>Prescritor</v>
      </c>
    </row>
    <row r="26" spans="1:12" ht="15.75" customHeight="1" x14ac:dyDescent="0.15">
      <c r="A26" s="3" t="str">
        <f ca="1">IFERROR(__xludf.DUMMYFUNCTION("""COMPUTED_VALUE"""),"HCP")</f>
        <v>HCP</v>
      </c>
      <c r="B26" s="3" t="str">
        <f ca="1">IFERROR(__xludf.DUMMYFUNCTION("""COMPUTED_VALUE"""),"degree_1")</f>
        <v>degree_1</v>
      </c>
      <c r="C26" s="3" t="str">
        <f ca="1">IFERROR(__xludf.DUMMYFUNCTION("""COMPUTED_VALUE"""),"Primary Medical Degree")</f>
        <v>Primary Medical Degree</v>
      </c>
      <c r="D26" s="6" t="s">
        <v>24</v>
      </c>
      <c r="E26" s="3" t="str">
        <f ca="1">IFERROR(__xludf.DUMMYFUNCTION("GOOGLETRANSLATE(C26,""en"",""de"")"),"Primärer medizinischer Abschluss")</f>
        <v>Primärer medizinischer Abschluss</v>
      </c>
      <c r="F26" s="3" t="str">
        <f ca="1">IFERROR(__xludf.DUMMYFUNCTION("GOOGLETRANSLATE(C26,""en"",""fr"")"),"Diplôme de médecine primaire")</f>
        <v>Diplôme de médecine primaire</v>
      </c>
      <c r="G26" s="3" t="str">
        <f ca="1">IFERROR(__xludf.DUMMYFUNCTION("GOOGLETRANSLATE(C26,""en"",""es"")"),"Licenciatura en Medicina Primaria")</f>
        <v>Licenciatura en Medicina Primaria</v>
      </c>
      <c r="H26" s="3" t="str">
        <f ca="1">IFERROR(__xludf.DUMMYFUNCTION("GOOGLETRANSLATE($C26,""en"",""it"")"),"Laurea in Medicina Primaria")</f>
        <v>Laurea in Medicina Primaria</v>
      </c>
      <c r="I26" s="3" t="str">
        <f ca="1">IFERROR(__xludf.DUMMYFUNCTION("GOOGLETRANSLATE($C26,""en"",""zh-cn"")"),"初级医学学位")</f>
        <v>初级医学学位</v>
      </c>
      <c r="J26" s="3" t="str">
        <f ca="1">IFERROR(__xludf.DUMMYFUNCTION("GOOGLETRANSLATE($C26,""en"",""ja"")"),"初等医学の学位")</f>
        <v>初等医学の学位</v>
      </c>
      <c r="K26" s="3" t="str">
        <f ca="1">IFERROR(__xludf.DUMMYFUNCTION("GOOGLETRANSLATE($C26,""en"",""ko"")"),"1차 의학 학위")</f>
        <v>1차 의학 학위</v>
      </c>
      <c r="L26" s="3" t="str">
        <f ca="1">IFERROR(__xludf.DUMMYFUNCTION("GOOGLETRANSLATE($C26,""en"",""pt-BR"")"),"Graduação Médica Primária")</f>
        <v>Graduação Médica Primária</v>
      </c>
    </row>
    <row r="27" spans="1:12" ht="15.75" customHeight="1" x14ac:dyDescent="0.15">
      <c r="A27" s="3" t="str">
        <f ca="1">IFERROR(__xludf.DUMMYFUNCTION("""COMPUTED_VALUE"""),"HCP")</f>
        <v>HCP</v>
      </c>
      <c r="B27" s="3" t="str">
        <f ca="1">IFERROR(__xludf.DUMMYFUNCTION("""COMPUTED_VALUE"""),"all_degree")</f>
        <v>all_degree</v>
      </c>
      <c r="C27" s="3" t="str">
        <f ca="1">IFERROR(__xludf.DUMMYFUNCTION("""COMPUTED_VALUE"""),"All Medical Degrees")</f>
        <v>All Medical Degrees</v>
      </c>
      <c r="D27" s="6" t="s">
        <v>24</v>
      </c>
      <c r="E27" s="3" t="str">
        <f ca="1">IFERROR(__xludf.DUMMYFUNCTION("GOOGLETRANSLATE(C27,""en"",""de"")"),"Alle medizinischen Abschlüsse")</f>
        <v>Alle medizinischen Abschlüsse</v>
      </c>
      <c r="F27" s="3" t="str">
        <f ca="1">IFERROR(__xludf.DUMMYFUNCTION("GOOGLETRANSLATE(C27,""en"",""fr"")"),"Tous les diplômes de médecine")</f>
        <v>Tous les diplômes de médecine</v>
      </c>
      <c r="G27" s="3" t="str">
        <f ca="1">IFERROR(__xludf.DUMMYFUNCTION("GOOGLETRANSLATE(C27,""en"",""es"")"),"Todos los títulos médicos")</f>
        <v>Todos los títulos médicos</v>
      </c>
      <c r="H27" s="3" t="str">
        <f ca="1">IFERROR(__xludf.DUMMYFUNCTION("GOOGLETRANSLATE($C27,""en"",""it"")"),"Tutte le lauree in medicina")</f>
        <v>Tutte le lauree in medicina</v>
      </c>
      <c r="I27" s="3" t="str">
        <f ca="1">IFERROR(__xludf.DUMMYFUNCTION("GOOGLETRANSLATE($C27,""en"",""zh-cn"")"),"所有医学学位")</f>
        <v>所有医学学位</v>
      </c>
      <c r="J27" s="3" t="str">
        <f ca="1">IFERROR(__xludf.DUMMYFUNCTION("GOOGLETRANSLATE($C27,""en"",""ja"")"),"すべての医学学位")</f>
        <v>すべての医学学位</v>
      </c>
      <c r="K27" s="3" t="str">
        <f ca="1">IFERROR(__xludf.DUMMYFUNCTION("GOOGLETRANSLATE($C27,""en"",""ko"")"),"모든 의학 학위")</f>
        <v>모든 의학 학위</v>
      </c>
      <c r="L27" s="3" t="str">
        <f ca="1">IFERROR(__xludf.DUMMYFUNCTION("GOOGLETRANSLATE($C27,""en"",""pt-BR"")"),"Todos os diplomas médicos")</f>
        <v>Todos os diplomas médicos</v>
      </c>
    </row>
    <row r="28" spans="1:12" ht="15.75" customHeight="1" x14ac:dyDescent="0.15">
      <c r="A28" s="3" t="str">
        <f ca="1">IFERROR(__xludf.DUMMYFUNCTION("""COMPUTED_VALUE"""),"HCP")</f>
        <v>HCP</v>
      </c>
      <c r="B28" s="3" t="str">
        <f ca="1">IFERROR(__xludf.DUMMYFUNCTION("""COMPUTED_VALUE"""),"status")</f>
        <v>status</v>
      </c>
      <c r="C28" s="3" t="str">
        <f ca="1">IFERROR(__xludf.DUMMYFUNCTION("""COMPUTED_VALUE"""),"Status")</f>
        <v>Status</v>
      </c>
      <c r="D28" s="6" t="s">
        <v>25</v>
      </c>
      <c r="E28" s="3" t="str">
        <f ca="1">IFERROR(__xludf.DUMMYFUNCTION("GOOGLETRANSLATE(C28,""en"",""de"")"),"Status")</f>
        <v>Status</v>
      </c>
      <c r="F28" s="3" t="str">
        <f ca="1">IFERROR(__xludf.DUMMYFUNCTION("GOOGLETRANSLATE(C28,""en"",""fr"")"),"Statut")</f>
        <v>Statut</v>
      </c>
      <c r="G28" s="3" t="str">
        <f ca="1">IFERROR(__xludf.DUMMYFUNCTION("GOOGLETRANSLATE(C28,""en"",""es"")"),"Estado")</f>
        <v>Estado</v>
      </c>
      <c r="H28" s="3" t="str">
        <f ca="1">IFERROR(__xludf.DUMMYFUNCTION("GOOGLETRANSLATE($C28,""en"",""it"")"),"Stato")</f>
        <v>Stato</v>
      </c>
      <c r="I28" s="3" t="str">
        <f ca="1">IFERROR(__xludf.DUMMYFUNCTION("GOOGLETRANSLATE($C28,""en"",""zh-cn"")"),"地位")</f>
        <v>地位</v>
      </c>
      <c r="J28" s="3" t="str">
        <f ca="1">IFERROR(__xludf.DUMMYFUNCTION("GOOGLETRANSLATE($C28,""en"",""ja"")"),"状態")</f>
        <v>状態</v>
      </c>
      <c r="K28" s="3" t="str">
        <f ca="1">IFERROR(__xludf.DUMMYFUNCTION("GOOGLETRANSLATE($C28,""en"",""ko"")"),"상태")</f>
        <v>상태</v>
      </c>
      <c r="L28" s="3" t="str">
        <f ca="1">IFERROR(__xludf.DUMMYFUNCTION("GOOGLETRANSLATE($C28,""en"",""pt-BR"")"),"Status")</f>
        <v>Status</v>
      </c>
    </row>
    <row r="29" spans="1:12" ht="15.75" customHeight="1" x14ac:dyDescent="0.15">
      <c r="A29" s="3" t="str">
        <f ca="1">IFERROR(__xludf.DUMMYFUNCTION("""COMPUTED_VALUE"""),"HCP")</f>
        <v>HCP</v>
      </c>
      <c r="B29" s="3" t="str">
        <f ca="1">IFERROR(__xludf.DUMMYFUNCTION("""COMPUTED_VALUE"""),"level")</f>
        <v>level</v>
      </c>
      <c r="C29" s="3" t="str">
        <f ca="1">IFERROR(__xludf.DUMMYFUNCTION("""COMPUTED_VALUE"""),"Level")</f>
        <v>Level</v>
      </c>
      <c r="D29" s="6" t="s">
        <v>26</v>
      </c>
      <c r="E29" s="3" t="str">
        <f ca="1">IFERROR(__xludf.DUMMYFUNCTION("GOOGLETRANSLATE(C29,""en"",""de"")"),"Ebene")</f>
        <v>Ebene</v>
      </c>
      <c r="F29" s="3" t="str">
        <f ca="1">IFERROR(__xludf.DUMMYFUNCTION("GOOGLETRANSLATE(C29,""en"",""fr"")"),"Niveau")</f>
        <v>Niveau</v>
      </c>
      <c r="G29" s="3" t="str">
        <f ca="1">IFERROR(__xludf.DUMMYFUNCTION("GOOGLETRANSLATE(C29,""en"",""es"")"),"Nivel")</f>
        <v>Nivel</v>
      </c>
      <c r="H29" s="3" t="str">
        <f ca="1">IFERROR(__xludf.DUMMYFUNCTION("GOOGLETRANSLATE($C29,""en"",""it"")"),"Livello")</f>
        <v>Livello</v>
      </c>
      <c r="I29" s="3" t="str">
        <f ca="1">IFERROR(__xludf.DUMMYFUNCTION("GOOGLETRANSLATE($C29,""en"",""zh-cn"")"),"等级")</f>
        <v>等级</v>
      </c>
      <c r="J29" s="3" t="str">
        <f ca="1">IFERROR(__xludf.DUMMYFUNCTION("GOOGLETRANSLATE($C29,""en"",""ja"")"),"レベル")</f>
        <v>レベル</v>
      </c>
      <c r="K29" s="3" t="str">
        <f ca="1">IFERROR(__xludf.DUMMYFUNCTION("GOOGLETRANSLATE($C29,""en"",""ko"")"),"수준")</f>
        <v>수준</v>
      </c>
      <c r="L29" s="3" t="str">
        <f ca="1">IFERROR(__xludf.DUMMYFUNCTION("GOOGLETRANSLATE($C29,""en"",""pt-BR"")"),"Nível")</f>
        <v>Nível</v>
      </c>
    </row>
    <row r="30" spans="1:12" ht="15.75" customHeight="1" x14ac:dyDescent="0.15">
      <c r="A30" s="3" t="str">
        <f ca="1">IFERROR(__xludf.DUMMYFUNCTION("""COMPUTED_VALUE"""),"HCP")</f>
        <v>HCP</v>
      </c>
      <c r="B30" s="3" t="str">
        <f ca="1">IFERROR(__xludf.DUMMYFUNCTION("""COMPUTED_VALUE"""),"adopter_type")</f>
        <v>adopter_type</v>
      </c>
      <c r="C30" s="3" t="str">
        <f ca="1">IFERROR(__xludf.DUMMYFUNCTION("""COMPUTED_VALUE"""),"Adopter Type")</f>
        <v>Adopter Type</v>
      </c>
      <c r="D30" s="6" t="s">
        <v>27</v>
      </c>
      <c r="E30" s="3" t="str">
        <f ca="1">IFERROR(__xludf.DUMMYFUNCTION("GOOGLETRANSLATE(C30,""en"",""de"")"),"Adoptertyp")</f>
        <v>Adoptertyp</v>
      </c>
      <c r="F30" s="3" t="str">
        <f ca="1">IFERROR(__xludf.DUMMYFUNCTION("GOOGLETRANSLATE(C30,""en"",""fr"")"),"Type d'adoptant")</f>
        <v>Type d'adoptant</v>
      </c>
      <c r="G30" s="3" t="str">
        <f ca="1">IFERROR(__xludf.DUMMYFUNCTION("GOOGLETRANSLATE(C30,""en"",""es"")"),"Tipo de adoptante")</f>
        <v>Tipo de adoptante</v>
      </c>
      <c r="H30" s="3" t="str">
        <f ca="1">IFERROR(__xludf.DUMMYFUNCTION("GOOGLETRANSLATE($C30,""en"",""it"")"),"Tipo di adottante")</f>
        <v>Tipo di adottante</v>
      </c>
      <c r="I30" s="3" t="str">
        <f ca="1">IFERROR(__xludf.DUMMYFUNCTION("GOOGLETRANSLATE($C30,""en"",""zh-cn"")"),"采用器类型")</f>
        <v>采用器类型</v>
      </c>
      <c r="J30" s="3" t="str">
        <f ca="1">IFERROR(__xludf.DUMMYFUNCTION("GOOGLETRANSLATE($C30,""en"",""ja"")"),"アダプタータイプ")</f>
        <v>アダプタータイプ</v>
      </c>
      <c r="K30" s="3" t="str">
        <f ca="1">IFERROR(__xludf.DUMMYFUNCTION("GOOGLETRANSLATE($C30,""en"",""ko"")"),"어댑터 유형")</f>
        <v>어댑터 유형</v>
      </c>
      <c r="L30" s="3" t="str">
        <f ca="1">IFERROR(__xludf.DUMMYFUNCTION("GOOGLETRANSLATE($C30,""en"",""pt-BR"")"),"Tipo de adotante")</f>
        <v>Tipo de adotante</v>
      </c>
    </row>
    <row r="31" spans="1:12" ht="15.75" customHeight="1" x14ac:dyDescent="0.15">
      <c r="A31" s="3" t="str">
        <f ca="1">IFERROR(__xludf.DUMMYFUNCTION("""COMPUTED_VALUE"""),"HCP")</f>
        <v>HCP</v>
      </c>
      <c r="B31" s="3" t="str">
        <f ca="1">IFERROR(__xludf.DUMMYFUNCTION("""COMPUTED_VALUE"""),"kol")</f>
        <v>kol</v>
      </c>
      <c r="C31" s="3" t="str">
        <f ca="1">IFERROR(__xludf.DUMMYFUNCTION("""COMPUTED_VALUE"""),"Key Opinion Leader")</f>
        <v>Key Opinion Leader</v>
      </c>
      <c r="D31" s="3" t="s">
        <v>16</v>
      </c>
      <c r="E31" s="3" t="str">
        <f ca="1">IFERROR(__xludf.DUMMYFUNCTION("GOOGLETRANSLATE(C31,""en"",""de"")"),"Meinungsführer")</f>
        <v>Meinungsführer</v>
      </c>
      <c r="F31" s="3" t="str">
        <f ca="1">IFERROR(__xludf.DUMMYFUNCTION("GOOGLETRANSLATE(C31,""en"",""fr"")"),"Leader d’opinion clé")</f>
        <v>Leader d’opinion clé</v>
      </c>
      <c r="G31" s="3" t="str">
        <f ca="1">IFERROR(__xludf.DUMMYFUNCTION("GOOGLETRANSLATE(C31,""en"",""es"")"),"Lider de opinion clave")</f>
        <v>Lider de opinion clave</v>
      </c>
      <c r="H31" s="3" t="str">
        <f ca="1">IFERROR(__xludf.DUMMYFUNCTION("GOOGLETRANSLATE($C31,""en"",""it"")"),"Leader d'opinione chiave")</f>
        <v>Leader d'opinione chiave</v>
      </c>
      <c r="I31" s="3" t="str">
        <f ca="1">IFERROR(__xludf.DUMMYFUNCTION("GOOGLETRANSLATE($C31,""en"",""zh-cn"")"),"关键意见领袖")</f>
        <v>关键意见领袖</v>
      </c>
      <c r="J31" s="3" t="str">
        <f ca="1">IFERROR(__xludf.DUMMYFUNCTION("GOOGLETRANSLATE($C31,""en"",""ja"")"),"主要なオピニオンリーダー")</f>
        <v>主要なオピニオンリーダー</v>
      </c>
      <c r="K31" s="3" t="str">
        <f ca="1">IFERROR(__xludf.DUMMYFUNCTION("GOOGLETRANSLATE($C31,""en"",""ko"")"),"주요 오피니언 리더")</f>
        <v>주요 오피니언 리더</v>
      </c>
      <c r="L31" s="3" t="str">
        <f ca="1">IFERROR(__xludf.DUMMYFUNCTION("GOOGLETRANSLATE($C31,""en"",""pt-BR"")"),"Líder de opinião principal")</f>
        <v>Líder de opinião principal</v>
      </c>
    </row>
    <row r="32" spans="1:12" ht="15.75" customHeight="1" x14ac:dyDescent="0.15">
      <c r="A32" s="3" t="str">
        <f ca="1">IFERROR(__xludf.DUMMYFUNCTION("""COMPUTED_VALUE"""),"HCP")</f>
        <v>HCP</v>
      </c>
      <c r="B32" s="3" t="str">
        <f ca="1">IFERROR(__xludf.DUMMYFUNCTION("""COMPUTED_VALUE"""),"investigator")</f>
        <v>investigator</v>
      </c>
      <c r="C32" s="3" t="str">
        <f ca="1">IFERROR(__xludf.DUMMYFUNCTION("""COMPUTED_VALUE"""),"Investigator")</f>
        <v>Investigator</v>
      </c>
      <c r="D32" s="3" t="s">
        <v>16</v>
      </c>
      <c r="E32" s="3" t="str">
        <f ca="1">IFERROR(__xludf.DUMMYFUNCTION("GOOGLETRANSLATE(C32,""en"",""de"")"),"Ermittler")</f>
        <v>Ermittler</v>
      </c>
      <c r="F32" s="3" t="str">
        <f ca="1">IFERROR(__xludf.DUMMYFUNCTION("GOOGLETRANSLATE(C32,""en"",""fr"")"),"Enquêteur")</f>
        <v>Enquêteur</v>
      </c>
      <c r="G32" s="3" t="str">
        <f ca="1">IFERROR(__xludf.DUMMYFUNCTION("GOOGLETRANSLATE(C32,""en"",""es"")"),"Investigador")</f>
        <v>Investigador</v>
      </c>
      <c r="H32" s="3" t="str">
        <f ca="1">IFERROR(__xludf.DUMMYFUNCTION("GOOGLETRANSLATE($C32,""en"",""it"")"),"Investigatore")</f>
        <v>Investigatore</v>
      </c>
      <c r="I32" s="3" t="str">
        <f ca="1">IFERROR(__xludf.DUMMYFUNCTION("GOOGLETRANSLATE($C32,""en"",""zh-cn"")"),"研究者")</f>
        <v>研究者</v>
      </c>
      <c r="J32" s="3" t="str">
        <f ca="1">IFERROR(__xludf.DUMMYFUNCTION("GOOGLETRANSLATE($C32,""en"",""ja"")"),"捜査官")</f>
        <v>捜査官</v>
      </c>
      <c r="K32" s="3" t="str">
        <f ca="1">IFERROR(__xludf.DUMMYFUNCTION("GOOGLETRANSLATE($C32,""en"",""ko"")"),"조사자")</f>
        <v>조사자</v>
      </c>
      <c r="L32" s="3" t="str">
        <f ca="1">IFERROR(__xludf.DUMMYFUNCTION("GOOGLETRANSLATE($C32,""en"",""pt-BR"")"),"Investigador")</f>
        <v>Investigador</v>
      </c>
    </row>
    <row r="33" spans="1:18" ht="15.75" customHeight="1" x14ac:dyDescent="0.15">
      <c r="A33" s="3" t="str">
        <f ca="1">IFERROR(__xludf.DUMMYFUNCTION("""COMPUTED_VALUE"""),"HCP")</f>
        <v>HCP</v>
      </c>
      <c r="B33" s="3" t="str">
        <f ca="1">IFERROR(__xludf.DUMMYFUNCTION("""COMPUTED_VALUE"""),"speaker")</f>
        <v>speaker</v>
      </c>
      <c r="C33" s="3" t="str">
        <f ca="1">IFERROR(__xludf.DUMMYFUNCTION("""COMPUTED_VALUE"""),"Speaker")</f>
        <v>Speaker</v>
      </c>
      <c r="D33" s="3" t="s">
        <v>16</v>
      </c>
      <c r="E33" s="3" t="str">
        <f ca="1">IFERROR(__xludf.DUMMYFUNCTION("GOOGLETRANSLATE(C33,""en"",""de"")"),"Lautsprecher")</f>
        <v>Lautsprecher</v>
      </c>
      <c r="F33" s="3" t="str">
        <f ca="1">IFERROR(__xludf.DUMMYFUNCTION("GOOGLETRANSLATE(C33,""en"",""fr"")"),"Conférencier")</f>
        <v>Conférencier</v>
      </c>
      <c r="G33" s="3" t="str">
        <f ca="1">IFERROR(__xludf.DUMMYFUNCTION("GOOGLETRANSLATE(C33,""en"",""es"")"),"Vocero")</f>
        <v>Vocero</v>
      </c>
      <c r="H33" s="3" t="str">
        <f ca="1">IFERROR(__xludf.DUMMYFUNCTION("GOOGLETRANSLATE($C33,""en"",""it"")"),"Altoparlante")</f>
        <v>Altoparlante</v>
      </c>
      <c r="I33" s="3" t="str">
        <f ca="1">IFERROR(__xludf.DUMMYFUNCTION("GOOGLETRANSLATE($C33,""en"",""zh-cn"")"),"扬声器")</f>
        <v>扬声器</v>
      </c>
      <c r="J33" s="3" t="str">
        <f ca="1">IFERROR(__xludf.DUMMYFUNCTION("GOOGLETRANSLATE($C33,""en"",""ja"")"),"スピーカー")</f>
        <v>スピーカー</v>
      </c>
      <c r="K33" s="3" t="str">
        <f ca="1">IFERROR(__xludf.DUMMYFUNCTION("GOOGLETRANSLATE($C33,""en"",""ko"")"),"스피커")</f>
        <v>스피커</v>
      </c>
      <c r="L33" s="3" t="str">
        <f ca="1">IFERROR(__xludf.DUMMYFUNCTION("GOOGLETRANSLATE($C33,""en"",""pt-BR"")"),"Palestrante")</f>
        <v>Palestrante</v>
      </c>
    </row>
    <row r="34" spans="1:18" ht="15.75" customHeight="1" x14ac:dyDescent="0.15">
      <c r="A34" s="3" t="str">
        <f ca="1">IFERROR(__xludf.DUMMYFUNCTION("""COMPUTED_VALUE"""),"HCP")</f>
        <v>HCP</v>
      </c>
      <c r="B34" s="3" t="str">
        <f ca="1">IFERROR(__xludf.DUMMYFUNCTION("""COMPUTED_VALUE"""),"target")</f>
        <v>target</v>
      </c>
      <c r="C34" s="3" t="str">
        <f ca="1">IFERROR(__xludf.DUMMYFUNCTION("""COMPUTED_VALUE"""),"Target")</f>
        <v>Target</v>
      </c>
      <c r="D34" s="3" t="s">
        <v>16</v>
      </c>
      <c r="E34" s="3" t="str">
        <f ca="1">IFERROR(__xludf.DUMMYFUNCTION("GOOGLETRANSLATE(C34,""en"",""de"")"),"Ziel")</f>
        <v>Ziel</v>
      </c>
      <c r="F34" s="3" t="str">
        <f ca="1">IFERROR(__xludf.DUMMYFUNCTION("GOOGLETRANSLATE(C34,""en"",""fr"")"),"Cible")</f>
        <v>Cible</v>
      </c>
      <c r="G34" s="3" t="str">
        <f ca="1">IFERROR(__xludf.DUMMYFUNCTION("GOOGLETRANSLATE(C34,""en"",""es"")"),"Objetivo")</f>
        <v>Objetivo</v>
      </c>
      <c r="H34" s="3" t="str">
        <f ca="1">IFERROR(__xludf.DUMMYFUNCTION("GOOGLETRANSLATE($C34,""en"",""it"")"),"Bersaglio")</f>
        <v>Bersaglio</v>
      </c>
      <c r="I34" s="3" t="str">
        <f ca="1">IFERROR(__xludf.DUMMYFUNCTION("GOOGLETRANSLATE($C34,""en"",""zh-cn"")"),"目标")</f>
        <v>目标</v>
      </c>
      <c r="J34" s="3" t="str">
        <f ca="1">IFERROR(__xludf.DUMMYFUNCTION("GOOGLETRANSLATE($C34,""en"",""ja"")"),"目標")</f>
        <v>目標</v>
      </c>
      <c r="K34" s="3" t="str">
        <f ca="1">IFERROR(__xludf.DUMMYFUNCTION("GOOGLETRANSLATE($C34,""en"",""ko"")"),"표적")</f>
        <v>표적</v>
      </c>
      <c r="L34" s="3" t="str">
        <f ca="1">IFERROR(__xludf.DUMMYFUNCTION("GOOGLETRANSLATE($C34,""en"",""pt-BR"")"),"Alvo")</f>
        <v>Alvo</v>
      </c>
    </row>
    <row r="35" spans="1:18" ht="15.75" customHeight="1" x14ac:dyDescent="0.15">
      <c r="A35" s="5" t="str">
        <f ca="1">IFERROR(__xludf.DUMMYFUNCTION("""COMPUTED_VALUE"""),"Entity")</f>
        <v>Entity</v>
      </c>
      <c r="B35" s="5" t="str">
        <f ca="1">IFERROR(__xludf.DUMMYFUNCTION("""COMPUTED_VALUE"""),"Name")</f>
        <v>Name</v>
      </c>
      <c r="C35" s="5" t="str">
        <f ca="1">IFERROR(__xludf.DUMMYFUNCTION("""COMPUTED_VALUE"""),"Label")</f>
        <v>Label</v>
      </c>
      <c r="D35" s="5" t="s">
        <v>15</v>
      </c>
      <c r="E35" s="5" t="s">
        <v>4</v>
      </c>
      <c r="F35" s="5" t="s">
        <v>5</v>
      </c>
      <c r="G35" s="5" t="s">
        <v>6</v>
      </c>
      <c r="H35" s="5" t="s">
        <v>7</v>
      </c>
      <c r="I35" s="5" t="s">
        <v>8</v>
      </c>
      <c r="J35" s="5" t="s">
        <v>9</v>
      </c>
      <c r="K35" s="5" t="s">
        <v>10</v>
      </c>
      <c r="L35" s="5" t="s">
        <v>11</v>
      </c>
      <c r="M35" s="5"/>
      <c r="N35" s="5"/>
      <c r="O35" s="5"/>
      <c r="P35" s="5"/>
      <c r="Q35" s="5"/>
      <c r="R35" s="5"/>
    </row>
    <row r="36" spans="1:18" ht="15.75" customHeight="1" x14ac:dyDescent="0.15">
      <c r="A36" s="3" t="str">
        <f ca="1">IFERROR(__xludf.DUMMYFUNCTION("""COMPUTED_VALUE"""),"HCP_Segment")</f>
        <v>HCP_Segment</v>
      </c>
      <c r="B36" s="3" t="str">
        <f ca="1">IFERROR(__xludf.DUMMYFUNCTION("""COMPUTED_VALUE"""),"hcp")</f>
        <v>hcp</v>
      </c>
      <c r="C36" s="3" t="str">
        <f ca="1">IFERROR(__xludf.DUMMYFUNCTION("""COMPUTED_VALUE"""),"HCP")</f>
        <v>HCP</v>
      </c>
      <c r="D36" s="3" t="s">
        <v>16</v>
      </c>
      <c r="E36" s="3" t="str">
        <f ca="1">IFERROR(__xludf.DUMMYFUNCTION("GOOGLETRANSLATE(C36,""en"",""de"")"),"HCP")</f>
        <v>HCP</v>
      </c>
      <c r="F36" s="3" t="str">
        <f ca="1">IFERROR(__xludf.DUMMYFUNCTION("GOOGLETRANSLATE(#REF!,""en"",""de"")"),"#REF!")</f>
        <v>#REF!</v>
      </c>
      <c r="G36" s="3" t="str">
        <f ca="1">IFERROR(__xludf.DUMMYFUNCTION("GOOGLETRANSLATE(C36,""en"",""es"")"),"profesional sanitario")</f>
        <v>profesional sanitario</v>
      </c>
      <c r="H36" s="3" t="str">
        <f ca="1">IFERROR(__xludf.DUMMYFUNCTION("GOOGLETRANSLATE($C36,""en"",""it"")"),"Operatore sanitario")</f>
        <v>Operatore sanitario</v>
      </c>
      <c r="I36" s="3" t="str">
        <f ca="1">IFERROR(__xludf.DUMMYFUNCTION("GOOGLETRANSLATE($C36,""en"",""zh-cn"")"),"羟基磷灰石")</f>
        <v>羟基磷灰石</v>
      </c>
      <c r="J36" s="3" t="str">
        <f ca="1">IFERROR(__xludf.DUMMYFUNCTION("GOOGLETRANSLATE($C36,""en"",""ja"")"),"医療従事者")</f>
        <v>医療従事者</v>
      </c>
      <c r="K36" s="3" t="str">
        <f ca="1">IFERROR(__xludf.DUMMYFUNCTION("GOOGLETRANSLATE($C36,""en"",""ko"")"),"HCP")</f>
        <v>HCP</v>
      </c>
      <c r="L36" s="3" t="str">
        <f ca="1">IFERROR(__xludf.DUMMYFUNCTION("GOOGLETRANSLATE($C36,""en"",""pt-BR"")"),"Profissional de saúde")</f>
        <v>Profissional de saúde</v>
      </c>
    </row>
    <row r="37" spans="1:18" ht="15.75" customHeight="1" x14ac:dyDescent="0.15">
      <c r="A37" s="3" t="str">
        <f ca="1">IFERROR(__xludf.DUMMYFUNCTION("""COMPUTED_VALUE"""),"HCP_Segment")</f>
        <v>HCP_Segment</v>
      </c>
      <c r="B37" s="3" t="str">
        <f ca="1">IFERROR(__xludf.DUMMYFUNCTION("""COMPUTED_VALUE"""),"name")</f>
        <v>name</v>
      </c>
      <c r="C37" s="3" t="str">
        <f ca="1">IFERROR(__xludf.DUMMYFUNCTION("""COMPUTED_VALUE"""),"Name")</f>
        <v>Name</v>
      </c>
      <c r="D37" s="3" t="s">
        <v>16</v>
      </c>
      <c r="E37" s="3" t="str">
        <f ca="1">IFERROR(__xludf.DUMMYFUNCTION("GOOGLETRANSLATE(C37,""en"",""de"")"),"Name")</f>
        <v>Name</v>
      </c>
      <c r="F37" s="3" t="str">
        <f ca="1">IFERROR(__xludf.DUMMYFUNCTION("GOOGLETRANSLATE(C37,""en"",""fr"")"),"Nom")</f>
        <v>Nom</v>
      </c>
      <c r="G37" s="3" t="str">
        <f ca="1">IFERROR(__xludf.DUMMYFUNCTION("GOOGLETRANSLATE(C37,""en"",""es"")"),"Nombre")</f>
        <v>Nombre</v>
      </c>
      <c r="H37" s="3" t="str">
        <f ca="1">IFERROR(__xludf.DUMMYFUNCTION("GOOGLETRANSLATE($C37,""en"",""it"")"),"Nome")</f>
        <v>Nome</v>
      </c>
      <c r="I37" s="3" t="str">
        <f ca="1">IFERROR(__xludf.DUMMYFUNCTION("GOOGLETRANSLATE($C37,""en"",""zh-cn"")"),"姓名")</f>
        <v>姓名</v>
      </c>
      <c r="J37" s="3" t="str">
        <f ca="1">IFERROR(__xludf.DUMMYFUNCTION("GOOGLETRANSLATE($C37,""en"",""ja"")"),"名前")</f>
        <v>名前</v>
      </c>
      <c r="K37" s="3" t="str">
        <f ca="1">IFERROR(__xludf.DUMMYFUNCTION("GOOGLETRANSLATE($C37,""en"",""ko"")"),"이름")</f>
        <v>이름</v>
      </c>
      <c r="L37" s="3" t="str">
        <f ca="1">IFERROR(__xludf.DUMMYFUNCTION("GOOGLETRANSLATE($C37,""en"",""pt-BR"")"),"Nome")</f>
        <v>Nome</v>
      </c>
    </row>
    <row r="38" spans="1:18" ht="15.75" customHeight="1" x14ac:dyDescent="0.15">
      <c r="A38" s="3" t="str">
        <f ca="1">IFERROR(__xludf.DUMMYFUNCTION("""COMPUTED_VALUE"""),"HCP_Segment")</f>
        <v>HCP_Segment</v>
      </c>
      <c r="B38" s="3" t="str">
        <f ca="1">IFERROR(__xludf.DUMMYFUNCTION("""COMPUTED_VALUE"""),"source")</f>
        <v>source</v>
      </c>
      <c r="C38" s="3" t="str">
        <f ca="1">IFERROR(__xludf.DUMMYFUNCTION("""COMPUTED_VALUE"""),"Source")</f>
        <v>Source</v>
      </c>
      <c r="D38" s="3" t="s">
        <v>16</v>
      </c>
      <c r="E38" s="3" t="str">
        <f ca="1">IFERROR(__xludf.DUMMYFUNCTION("GOOGLETRANSLATE(C38,""en"",""de"")"),"Quelle")</f>
        <v>Quelle</v>
      </c>
      <c r="F38" s="3" t="str">
        <f ca="1">IFERROR(__xludf.DUMMYFUNCTION("GOOGLETRANSLATE(C38,""en"",""fr"")"),"Source")</f>
        <v>Source</v>
      </c>
      <c r="G38" s="3" t="str">
        <f ca="1">IFERROR(__xludf.DUMMYFUNCTION("GOOGLETRANSLATE(C38,""en"",""es"")"),"Fuente")</f>
        <v>Fuente</v>
      </c>
      <c r="H38" s="3" t="str">
        <f ca="1">IFERROR(__xludf.DUMMYFUNCTION("GOOGLETRANSLATE($C38,""en"",""it"")"),"Fonte")</f>
        <v>Fonte</v>
      </c>
      <c r="I38" s="3" t="str">
        <f ca="1">IFERROR(__xludf.DUMMYFUNCTION("GOOGLETRANSLATE($C38,""en"",""zh-cn"")"),"来源")</f>
        <v>来源</v>
      </c>
      <c r="J38" s="3" t="str">
        <f ca="1">IFERROR(__xludf.DUMMYFUNCTION("GOOGLETRANSLATE($C38,""en"",""ja"")"),"ソース")</f>
        <v>ソース</v>
      </c>
      <c r="K38" s="3" t="str">
        <f ca="1">IFERROR(__xludf.DUMMYFUNCTION("GOOGLETRANSLATE($C38,""en"",""ko"")"),"원천")</f>
        <v>원천</v>
      </c>
      <c r="L38" s="3" t="str">
        <f ca="1">IFERROR(__xludf.DUMMYFUNCTION("GOOGLETRANSLATE($C38,""en"",""pt-BR"")"),"Fonte")</f>
        <v>Fonte</v>
      </c>
    </row>
    <row r="39" spans="1:18" ht="15.75" customHeight="1" x14ac:dyDescent="0.15">
      <c r="A39" s="5" t="str">
        <f ca="1">IFERROR(__xludf.DUMMYFUNCTION("""COMPUTED_VALUE"""),"Entity")</f>
        <v>Entity</v>
      </c>
      <c r="B39" s="5" t="str">
        <f ca="1">IFERROR(__xludf.DUMMYFUNCTION("""COMPUTED_VALUE"""),"Name")</f>
        <v>Name</v>
      </c>
      <c r="C39" s="5" t="str">
        <f ca="1">IFERROR(__xludf.DUMMYFUNCTION("""COMPUTED_VALUE"""),"Label")</f>
        <v>Label</v>
      </c>
      <c r="D39" s="5" t="s">
        <v>15</v>
      </c>
      <c r="E39" s="5" t="s">
        <v>4</v>
      </c>
      <c r="F39" s="5" t="s">
        <v>5</v>
      </c>
      <c r="G39" s="5" t="s">
        <v>6</v>
      </c>
      <c r="H39" s="5" t="s">
        <v>7</v>
      </c>
      <c r="I39" s="5" t="s">
        <v>8</v>
      </c>
      <c r="J39" s="5" t="s">
        <v>9</v>
      </c>
      <c r="K39" s="5" t="s">
        <v>10</v>
      </c>
      <c r="L39" s="5" t="s">
        <v>11</v>
      </c>
      <c r="M39" s="5"/>
      <c r="N39" s="5"/>
      <c r="O39" s="5"/>
      <c r="P39" s="5"/>
      <c r="Q39" s="5"/>
      <c r="R39" s="5"/>
    </row>
    <row r="40" spans="1:18" ht="15.75" customHeight="1" x14ac:dyDescent="0.15">
      <c r="A40" s="3" t="str">
        <f ca="1">IFERROR(__xludf.DUMMYFUNCTION("""COMPUTED_VALUE"""),"Address")</f>
        <v>Address</v>
      </c>
      <c r="B40" s="3" t="str">
        <f ca="1">IFERROR(__xludf.DUMMYFUNCTION("""COMPUTED_VALUE"""),"hcp")</f>
        <v>hcp</v>
      </c>
      <c r="C40" s="3" t="str">
        <f ca="1">IFERROR(__xludf.DUMMYFUNCTION("""COMPUTED_VALUE"""),"HCP")</f>
        <v>HCP</v>
      </c>
      <c r="D40" s="3" t="s">
        <v>16</v>
      </c>
      <c r="E40" s="3" t="str">
        <f ca="1">IFERROR(__xludf.DUMMYFUNCTION("GOOGLETRANSLATE(C40,""en"",""de"")"),"HCP")</f>
        <v>HCP</v>
      </c>
      <c r="F40" s="3" t="str">
        <f ca="1">IFERROR(__xludf.DUMMYFUNCTION("GOOGLETRANSLATE(C40,""en"",""fr"")"),"Professionnel de santé")</f>
        <v>Professionnel de santé</v>
      </c>
      <c r="G40" s="3" t="str">
        <f ca="1">IFERROR(__xludf.DUMMYFUNCTION("GOOGLETRANSLATE(C40,""en"",""es"")"),"profesional sanitario")</f>
        <v>profesional sanitario</v>
      </c>
      <c r="H40" s="3" t="str">
        <f ca="1">IFERROR(__xludf.DUMMYFUNCTION("GOOGLETRANSLATE($C40,""en"",""it"")"),"Operatore sanitario")</f>
        <v>Operatore sanitario</v>
      </c>
      <c r="I40" s="3" t="str">
        <f ca="1">IFERROR(__xludf.DUMMYFUNCTION("GOOGLETRANSLATE($C40,""en"",""zh-cn"")"),"羟基磷灰石")</f>
        <v>羟基磷灰石</v>
      </c>
      <c r="J40" s="3" t="str">
        <f ca="1">IFERROR(__xludf.DUMMYFUNCTION("GOOGLETRANSLATE($C40,""en"",""ja"")"),"医療従事者")</f>
        <v>医療従事者</v>
      </c>
      <c r="K40" s="3" t="str">
        <f ca="1">IFERROR(__xludf.DUMMYFUNCTION("GOOGLETRANSLATE($C40,""en"",""ko"")"),"HCP")</f>
        <v>HCP</v>
      </c>
      <c r="L40" s="3" t="str">
        <f ca="1">IFERROR(__xludf.DUMMYFUNCTION("GOOGLETRANSLATE($C40,""en"",""pt-BR"")"),"Profissional de saúde")</f>
        <v>Profissional de saúde</v>
      </c>
    </row>
    <row r="41" spans="1:18" ht="15.75" customHeight="1" x14ac:dyDescent="0.15">
      <c r="A41" s="3" t="str">
        <f ca="1">IFERROR(__xludf.DUMMYFUNCTION("""COMPUTED_VALUE"""),"Address")</f>
        <v>Address</v>
      </c>
      <c r="B41" s="3" t="str">
        <f ca="1">IFERROR(__xludf.DUMMYFUNCTION("""COMPUTED_VALUE"""),"primary")</f>
        <v>primary</v>
      </c>
      <c r="C41" s="3" t="str">
        <f ca="1">IFERROR(__xludf.DUMMYFUNCTION("""COMPUTED_VALUE"""),"Primary")</f>
        <v>Primary</v>
      </c>
      <c r="D41" s="3" t="s">
        <v>16</v>
      </c>
      <c r="E41" s="3" t="str">
        <f ca="1">IFERROR(__xludf.DUMMYFUNCTION("GOOGLETRANSLATE(C41,""en"",""de"")"),"Primär")</f>
        <v>Primär</v>
      </c>
      <c r="F41" s="3" t="str">
        <f ca="1">IFERROR(__xludf.DUMMYFUNCTION("GOOGLETRANSLATE(C41,""en"",""fr"")"),"Primaire")</f>
        <v>Primaire</v>
      </c>
      <c r="G41" s="3" t="str">
        <f ca="1">IFERROR(__xludf.DUMMYFUNCTION("GOOGLETRANSLATE(C41,""en"",""es"")"),"Primario")</f>
        <v>Primario</v>
      </c>
      <c r="H41" s="3" t="str">
        <f ca="1">IFERROR(__xludf.DUMMYFUNCTION("GOOGLETRANSLATE($C41,""en"",""it"")"),"Primario")</f>
        <v>Primario</v>
      </c>
      <c r="I41" s="3" t="str">
        <f ca="1">IFERROR(__xludf.DUMMYFUNCTION("GOOGLETRANSLATE($C41,""en"",""zh-cn"")"),"基本的")</f>
        <v>基本的</v>
      </c>
      <c r="J41" s="3" t="str">
        <f ca="1">IFERROR(__xludf.DUMMYFUNCTION("GOOGLETRANSLATE($C41,""en"",""ja"")"),"主要な")</f>
        <v>主要な</v>
      </c>
      <c r="K41" s="3" t="str">
        <f ca="1">IFERROR(__xludf.DUMMYFUNCTION("GOOGLETRANSLATE($C41,""en"",""ko"")"),"주요한")</f>
        <v>주요한</v>
      </c>
      <c r="L41" s="3" t="str">
        <f ca="1">IFERROR(__xludf.DUMMYFUNCTION("GOOGLETRANSLATE($C41,""en"",""pt-BR"")"),"Primário")</f>
        <v>Primário</v>
      </c>
    </row>
    <row r="42" spans="1:18" ht="15.75" customHeight="1" x14ac:dyDescent="0.15">
      <c r="A42" s="3" t="str">
        <f ca="1">IFERROR(__xludf.DUMMYFUNCTION("""COMPUTED_VALUE"""),"Address")</f>
        <v>Address</v>
      </c>
      <c r="B42" s="3" t="str">
        <f ca="1">IFERROR(__xludf.DUMMYFUNCTION("""COMPUTED_VALUE"""),"street_address_1")</f>
        <v>street_address_1</v>
      </c>
      <c r="C42" s="3" t="str">
        <f ca="1">IFERROR(__xludf.DUMMYFUNCTION("""COMPUTED_VALUE"""),"Street Address 1")</f>
        <v>Street Address 1</v>
      </c>
      <c r="D42" s="3" t="s">
        <v>16</v>
      </c>
      <c r="E42" s="3" t="str">
        <f ca="1">IFERROR(__xludf.DUMMYFUNCTION("GOOGLETRANSLATE(C42,""en"",""de"")"),"Adresse 1")</f>
        <v>Adresse 1</v>
      </c>
      <c r="F42" s="3" t="str">
        <f ca="1">IFERROR(__xludf.DUMMYFUNCTION("GOOGLETRANSLATE(C42,""en"",""fr"")"),"adresse 1")</f>
        <v>adresse 1</v>
      </c>
      <c r="G42" s="3" t="str">
        <f ca="1">IFERROR(__xludf.DUMMYFUNCTION("GOOGLETRANSLATE(C42,""en"",""es"")"),"Dirección Calle 1")</f>
        <v>Dirección Calle 1</v>
      </c>
      <c r="H42" s="3" t="str">
        <f ca="1">IFERROR(__xludf.DUMMYFUNCTION("GOOGLETRANSLATE($C42,""en"",""it"")"),"Indirizzo 1")</f>
        <v>Indirizzo 1</v>
      </c>
      <c r="I42" s="3" t="str">
        <f ca="1">IFERROR(__xludf.DUMMYFUNCTION("GOOGLETRANSLATE($C42,""en"",""zh-cn"")"),"街道地址1")</f>
        <v>街道地址1</v>
      </c>
      <c r="J42" s="3" t="str">
        <f ca="1">IFERROR(__xludf.DUMMYFUNCTION("GOOGLETRANSLATE($C42,""en"",""ja"")"),"住所1")</f>
        <v>住所1</v>
      </c>
      <c r="K42" s="3" t="str">
        <f ca="1">IFERROR(__xludf.DUMMYFUNCTION("GOOGLETRANSLATE($C42,""en"",""ko"")"),"거리 주소 1")</f>
        <v>거리 주소 1</v>
      </c>
      <c r="L42" s="3" t="str">
        <f ca="1">IFERROR(__xludf.DUMMYFUNCTION("GOOGLETRANSLATE($C42,""en"",""pt-BR"")"),"Endereço 1")</f>
        <v>Endereço 1</v>
      </c>
    </row>
    <row r="43" spans="1:18" ht="15.75" customHeight="1" x14ac:dyDescent="0.15">
      <c r="A43" s="3" t="str">
        <f ca="1">IFERROR(__xludf.DUMMYFUNCTION("""COMPUTED_VALUE"""),"Address")</f>
        <v>Address</v>
      </c>
      <c r="B43" s="3" t="str">
        <f ca="1">IFERROR(__xludf.DUMMYFUNCTION("""COMPUTED_VALUE"""),"street_address_2")</f>
        <v>street_address_2</v>
      </c>
      <c r="C43" s="3" t="str">
        <f ca="1">IFERROR(__xludf.DUMMYFUNCTION("""COMPUTED_VALUE"""),"Street Address 2")</f>
        <v>Street Address 2</v>
      </c>
      <c r="D43" s="3" t="s">
        <v>16</v>
      </c>
      <c r="E43" s="3" t="str">
        <f ca="1">IFERROR(__xludf.DUMMYFUNCTION("GOOGLETRANSLATE(C43,""en"",""de"")"),"Straße Adresse 2")</f>
        <v>Straße Adresse 2</v>
      </c>
      <c r="F43" s="3" t="str">
        <f ca="1">IFERROR(__xludf.DUMMYFUNCTION("GOOGLETRANSLATE(C43,""en"",""fr"")"),"Adresse municipale 2")</f>
        <v>Adresse municipale 2</v>
      </c>
      <c r="G43" s="3" t="str">
        <f ca="1">IFERROR(__xludf.DUMMYFUNCTION("GOOGLETRANSLATE(C43,""en"",""es"")"),"Dirección 2")</f>
        <v>Dirección 2</v>
      </c>
      <c r="H43" s="3" t="str">
        <f ca="1">IFERROR(__xludf.DUMMYFUNCTION("GOOGLETRANSLATE($C43,""en"",""it"")"),"Indirizzo stradale 2")</f>
        <v>Indirizzo stradale 2</v>
      </c>
      <c r="I43" s="3" t="str">
        <f ca="1">IFERROR(__xludf.DUMMYFUNCTION("GOOGLETRANSLATE($C43,""en"",""zh-cn"")"),"街道地址2")</f>
        <v>街道地址2</v>
      </c>
      <c r="J43" s="3" t="str">
        <f ca="1">IFERROR(__xludf.DUMMYFUNCTION("GOOGLETRANSLATE($C43,""en"",""ja"")"),"住所 2")</f>
        <v>住所 2</v>
      </c>
      <c r="K43" s="3" t="str">
        <f ca="1">IFERROR(__xludf.DUMMYFUNCTION("GOOGLETRANSLATE($C43,""en"",""ko"")"),"거리 주소 2")</f>
        <v>거리 주소 2</v>
      </c>
      <c r="L43" s="3" t="str">
        <f ca="1">IFERROR(__xludf.DUMMYFUNCTION("GOOGLETRANSLATE($C43,""en"",""pt-BR"")"),"Endereço 2")</f>
        <v>Endereço 2</v>
      </c>
    </row>
    <row r="44" spans="1:18" ht="15.75" customHeight="1" x14ac:dyDescent="0.15">
      <c r="A44" s="3" t="str">
        <f ca="1">IFERROR(__xludf.DUMMYFUNCTION("""COMPUTED_VALUE"""),"Address")</f>
        <v>Address</v>
      </c>
      <c r="B44" s="3" t="str">
        <f ca="1">IFERROR(__xludf.DUMMYFUNCTION("""COMPUTED_VALUE"""),"country")</f>
        <v>country</v>
      </c>
      <c r="C44" s="3" t="str">
        <f ca="1">IFERROR(__xludf.DUMMYFUNCTION("""COMPUTED_VALUE"""),"Country")</f>
        <v>Country</v>
      </c>
      <c r="D44" s="6" t="s">
        <v>19</v>
      </c>
      <c r="E44" s="3" t="str">
        <f ca="1">IFERROR(__xludf.DUMMYFUNCTION("GOOGLETRANSLATE(C44,""en"",""de"")"),"Land")</f>
        <v>Land</v>
      </c>
      <c r="F44" s="3" t="str">
        <f ca="1">IFERROR(__xludf.DUMMYFUNCTION("GOOGLETRANSLATE(C44,""en"",""fr"")"),"Pays")</f>
        <v>Pays</v>
      </c>
      <c r="G44" s="3" t="str">
        <f ca="1">IFERROR(__xludf.DUMMYFUNCTION("GOOGLETRANSLATE(C44,""en"",""es"")"),"País")</f>
        <v>País</v>
      </c>
      <c r="H44" s="3" t="str">
        <f ca="1">IFERROR(__xludf.DUMMYFUNCTION("GOOGLETRANSLATE($C44,""en"",""it"")"),"Paese")</f>
        <v>Paese</v>
      </c>
      <c r="I44" s="3" t="str">
        <f ca="1">IFERROR(__xludf.DUMMYFUNCTION("GOOGLETRANSLATE($C44,""en"",""zh-cn"")"),"国家")</f>
        <v>国家</v>
      </c>
      <c r="J44" s="3" t="str">
        <f ca="1">IFERROR(__xludf.DUMMYFUNCTION("GOOGLETRANSLATE($C44,""en"",""ja"")"),"国")</f>
        <v>国</v>
      </c>
      <c r="K44" s="3" t="str">
        <f ca="1">IFERROR(__xludf.DUMMYFUNCTION("GOOGLETRANSLATE($C44,""en"",""ko"")"),"국가")</f>
        <v>국가</v>
      </c>
      <c r="L44" s="3" t="str">
        <f ca="1">IFERROR(__xludf.DUMMYFUNCTION("GOOGLETRANSLATE($C44,""en"",""pt-BR"")"),"País")</f>
        <v>País</v>
      </c>
    </row>
    <row r="45" spans="1:18" ht="15.75" customHeight="1" x14ac:dyDescent="0.15">
      <c r="A45" s="3" t="str">
        <f ca="1">IFERROR(__xludf.DUMMYFUNCTION("""COMPUTED_VALUE"""),"Address")</f>
        <v>Address</v>
      </c>
      <c r="B45" s="3" t="str">
        <f ca="1">IFERROR(__xludf.DUMMYFUNCTION("""COMPUTED_VALUE"""),"state")</f>
        <v>state</v>
      </c>
      <c r="C45" s="3" t="str">
        <f ca="1">IFERROR(__xludf.DUMMYFUNCTION("""COMPUTED_VALUE"""),"State")</f>
        <v>State</v>
      </c>
      <c r="D45" s="6" t="s">
        <v>20</v>
      </c>
      <c r="E45" s="3" t="str">
        <f ca="1">IFERROR(__xludf.DUMMYFUNCTION("GOOGLETRANSLATE(C45,""en"",""de"")"),"Zustand")</f>
        <v>Zustand</v>
      </c>
      <c r="F45" s="3" t="str">
        <f ca="1">IFERROR(__xludf.DUMMYFUNCTION("GOOGLETRANSLATE(C45,""en"",""fr"")"),"État")</f>
        <v>État</v>
      </c>
      <c r="G45" s="3" t="str">
        <f ca="1">IFERROR(__xludf.DUMMYFUNCTION("GOOGLETRANSLATE(C45,""en"",""es"")"),"Estado")</f>
        <v>Estado</v>
      </c>
      <c r="H45" s="3" t="str">
        <f ca="1">IFERROR(__xludf.DUMMYFUNCTION("GOOGLETRANSLATE($C45,""en"",""it"")"),"Stato")</f>
        <v>Stato</v>
      </c>
      <c r="I45" s="3" t="str">
        <f ca="1">IFERROR(__xludf.DUMMYFUNCTION("GOOGLETRANSLATE($C45,""en"",""zh-cn"")"),"状态")</f>
        <v>状态</v>
      </c>
      <c r="J45" s="3" t="str">
        <f ca="1">IFERROR(__xludf.DUMMYFUNCTION("GOOGLETRANSLATE($C45,""en"",""ja"")"),"州")</f>
        <v>州</v>
      </c>
      <c r="K45" s="3" t="str">
        <f ca="1">IFERROR(__xludf.DUMMYFUNCTION("GOOGLETRANSLATE($C45,""en"",""ko"")"),"상태")</f>
        <v>상태</v>
      </c>
      <c r="L45" s="3" t="str">
        <f ca="1">IFERROR(__xludf.DUMMYFUNCTION("GOOGLETRANSLATE($C45,""en"",""pt-BR"")"),"Estado")</f>
        <v>Estado</v>
      </c>
    </row>
    <row r="46" spans="1:18" ht="15.75" customHeight="1" x14ac:dyDescent="0.15">
      <c r="A46" s="3" t="str">
        <f ca="1">IFERROR(__xludf.DUMMYFUNCTION("""COMPUTED_VALUE"""),"Address")</f>
        <v>Address</v>
      </c>
      <c r="B46" s="3" t="str">
        <f ca="1">IFERROR(__xludf.DUMMYFUNCTION("""COMPUTED_VALUE"""),"city")</f>
        <v>city</v>
      </c>
      <c r="C46" s="3" t="str">
        <f ca="1">IFERROR(__xludf.DUMMYFUNCTION("""COMPUTED_VALUE"""),"City")</f>
        <v>City</v>
      </c>
      <c r="D46" s="3" t="s">
        <v>16</v>
      </c>
      <c r="E46" s="3" t="str">
        <f ca="1">IFERROR(__xludf.DUMMYFUNCTION("GOOGLETRANSLATE(C46,""en"",""de"")"),"Stadt")</f>
        <v>Stadt</v>
      </c>
      <c r="F46" s="3" t="str">
        <f ca="1">IFERROR(__xludf.DUMMYFUNCTION("GOOGLETRANSLATE(C46,""en"",""fr"")"),"Ville")</f>
        <v>Ville</v>
      </c>
      <c r="G46" s="3" t="str">
        <f ca="1">IFERROR(__xludf.DUMMYFUNCTION("GOOGLETRANSLATE(C46,""en"",""es"")"),"Ciudad")</f>
        <v>Ciudad</v>
      </c>
      <c r="H46" s="3" t="str">
        <f ca="1">IFERROR(__xludf.DUMMYFUNCTION("GOOGLETRANSLATE($C46,""en"",""it"")"),"Città")</f>
        <v>Città</v>
      </c>
      <c r="I46" s="3" t="str">
        <f ca="1">IFERROR(__xludf.DUMMYFUNCTION("GOOGLETRANSLATE($C46,""en"",""zh-cn"")"),"城市")</f>
        <v>城市</v>
      </c>
      <c r="J46" s="3" t="str">
        <f ca="1">IFERROR(__xludf.DUMMYFUNCTION("GOOGLETRANSLATE($C46,""en"",""ja"")"),"市")</f>
        <v>市</v>
      </c>
      <c r="K46" s="3" t="str">
        <f ca="1">IFERROR(__xludf.DUMMYFUNCTION("GOOGLETRANSLATE($C46,""en"",""ko"")"),"도시")</f>
        <v>도시</v>
      </c>
      <c r="L46" s="3" t="str">
        <f ca="1">IFERROR(__xludf.DUMMYFUNCTION("GOOGLETRANSLATE($C46,""en"",""pt-BR"")"),"Cidade")</f>
        <v>Cidade</v>
      </c>
    </row>
    <row r="47" spans="1:18" ht="15.75" customHeight="1" x14ac:dyDescent="0.15">
      <c r="A47" s="3" t="str">
        <f ca="1">IFERROR(__xludf.DUMMYFUNCTION("""COMPUTED_VALUE"""),"Address")</f>
        <v>Address</v>
      </c>
      <c r="B47" s="3" t="str">
        <f ca="1">IFERROR(__xludf.DUMMYFUNCTION("""COMPUTED_VALUE"""),"postal_code")</f>
        <v>postal_code</v>
      </c>
      <c r="C47" s="3" t="str">
        <f ca="1">IFERROR(__xludf.DUMMYFUNCTION("""COMPUTED_VALUE"""),"Postal Code")</f>
        <v>Postal Code</v>
      </c>
      <c r="D47" s="3" t="s">
        <v>16</v>
      </c>
      <c r="E47" s="3" t="str">
        <f ca="1">IFERROR(__xludf.DUMMYFUNCTION("GOOGLETRANSLATE(C47,""en"",""de"")"),"Postleitzahl")</f>
        <v>Postleitzahl</v>
      </c>
      <c r="F47" s="3" t="str">
        <f ca="1">IFERROR(__xludf.DUMMYFUNCTION("GOOGLETRANSLATE(C47,""en"",""fr"")"),"Code Postal")</f>
        <v>Code Postal</v>
      </c>
      <c r="G47" s="3" t="str">
        <f ca="1">IFERROR(__xludf.DUMMYFUNCTION("GOOGLETRANSLATE(C47,""en"",""es"")"),"Código Postal")</f>
        <v>Código Postal</v>
      </c>
      <c r="H47" s="3" t="str">
        <f ca="1">IFERROR(__xludf.DUMMYFUNCTION("GOOGLETRANSLATE($C47,""en"",""it"")"),"Codice Postale")</f>
        <v>Codice Postale</v>
      </c>
      <c r="I47" s="3" t="str">
        <f ca="1">IFERROR(__xludf.DUMMYFUNCTION("GOOGLETRANSLATE($C47,""en"",""zh-cn"")"),"邮政编码")</f>
        <v>邮政编码</v>
      </c>
      <c r="J47" s="3" t="str">
        <f ca="1">IFERROR(__xludf.DUMMYFUNCTION("GOOGLETRANSLATE($C47,""en"",""ja"")"),"郵便番号")</f>
        <v>郵便番号</v>
      </c>
      <c r="K47" s="3" t="str">
        <f ca="1">IFERROR(__xludf.DUMMYFUNCTION("GOOGLETRANSLATE($C47,""en"",""ko"")"),"우편 번호")</f>
        <v>우편 번호</v>
      </c>
      <c r="L47" s="3" t="str">
        <f ca="1">IFERROR(__xludf.DUMMYFUNCTION("GOOGLETRANSLATE($C47,""en"",""pt-BR"")"),"Código postal")</f>
        <v>Código postal</v>
      </c>
    </row>
    <row r="48" spans="1:18" ht="15.75" customHeight="1" x14ac:dyDescent="0.15">
      <c r="A48" s="3" t="str">
        <f ca="1">IFERROR(__xludf.DUMMYFUNCTION("""COMPUTED_VALUE"""),"Address")</f>
        <v>Address</v>
      </c>
      <c r="B48" s="3" t="str">
        <f ca="1">IFERROR(__xludf.DUMMYFUNCTION("""COMPUTED_VALUE"""),"latitude")</f>
        <v>latitude</v>
      </c>
      <c r="C48" s="3" t="str">
        <f ca="1">IFERROR(__xludf.DUMMYFUNCTION("""COMPUTED_VALUE"""),"Latitude")</f>
        <v>Latitude</v>
      </c>
      <c r="D48" s="3" t="s">
        <v>16</v>
      </c>
      <c r="E48" s="3" t="str">
        <f ca="1">IFERROR(__xludf.DUMMYFUNCTION("GOOGLETRANSLATE(C48,""en"",""de"")"),"Breite")</f>
        <v>Breite</v>
      </c>
      <c r="F48" s="3" t="str">
        <f ca="1">IFERROR(__xludf.DUMMYFUNCTION("GOOGLETRANSLATE(C48,""en"",""fr"")"),"Latitude")</f>
        <v>Latitude</v>
      </c>
      <c r="G48" s="3" t="str">
        <f ca="1">IFERROR(__xludf.DUMMYFUNCTION("GOOGLETRANSLATE(C48,""en"",""es"")"),"Latitud")</f>
        <v>Latitud</v>
      </c>
      <c r="H48" s="3" t="str">
        <f ca="1">IFERROR(__xludf.DUMMYFUNCTION("GOOGLETRANSLATE($C48,""en"",""it"")"),"Latitudine")</f>
        <v>Latitudine</v>
      </c>
      <c r="I48" s="3" t="str">
        <f ca="1">IFERROR(__xludf.DUMMYFUNCTION("GOOGLETRANSLATE($C48,""en"",""zh-cn"")"),"纬度")</f>
        <v>纬度</v>
      </c>
      <c r="J48" s="3" t="str">
        <f ca="1">IFERROR(__xludf.DUMMYFUNCTION("GOOGLETRANSLATE($C48,""en"",""ja"")"),"緯度")</f>
        <v>緯度</v>
      </c>
      <c r="K48" s="3" t="str">
        <f ca="1">IFERROR(__xludf.DUMMYFUNCTION("GOOGLETRANSLATE($C48,""en"",""ko"")"),"위도")</f>
        <v>위도</v>
      </c>
      <c r="L48" s="3" t="str">
        <f ca="1">IFERROR(__xludf.DUMMYFUNCTION("GOOGLETRANSLATE($C48,""en"",""pt-BR"")"),"Latitude")</f>
        <v>Latitude</v>
      </c>
    </row>
    <row r="49" spans="1:12" ht="15.75" customHeight="1" x14ac:dyDescent="0.15">
      <c r="A49" s="3" t="str">
        <f ca="1">IFERROR(__xludf.DUMMYFUNCTION("""COMPUTED_VALUE"""),"Address")</f>
        <v>Address</v>
      </c>
      <c r="B49" s="3" t="str">
        <f ca="1">IFERROR(__xludf.DUMMYFUNCTION("""COMPUTED_VALUE"""),"longitude")</f>
        <v>longitude</v>
      </c>
      <c r="C49" s="3" t="str">
        <f ca="1">IFERROR(__xludf.DUMMYFUNCTION("""COMPUTED_VALUE"""),"Longitude")</f>
        <v>Longitude</v>
      </c>
      <c r="D49" s="3" t="s">
        <v>16</v>
      </c>
      <c r="E49" s="3" t="str">
        <f ca="1">IFERROR(__xludf.DUMMYFUNCTION("GOOGLETRANSLATE(C49,""en"",""de"")"),"Längengrad")</f>
        <v>Längengrad</v>
      </c>
      <c r="F49" s="3" t="str">
        <f ca="1">IFERROR(__xludf.DUMMYFUNCTION("GOOGLETRANSLATE(C49,""en"",""fr"")"),"Longitude")</f>
        <v>Longitude</v>
      </c>
      <c r="G49" s="3" t="str">
        <f ca="1">IFERROR(__xludf.DUMMYFUNCTION("GOOGLETRANSLATE(C49,""en"",""es"")"),"Longitud")</f>
        <v>Longitud</v>
      </c>
      <c r="H49" s="3" t="str">
        <f ca="1">IFERROR(__xludf.DUMMYFUNCTION("GOOGLETRANSLATE($C49,""en"",""it"")"),"Longitudine")</f>
        <v>Longitudine</v>
      </c>
      <c r="I49" s="3" t="str">
        <f ca="1">IFERROR(__xludf.DUMMYFUNCTION("GOOGLETRANSLATE($C49,""en"",""zh-cn"")"),"经度")</f>
        <v>经度</v>
      </c>
      <c r="J49" s="3" t="str">
        <f ca="1">IFERROR(__xludf.DUMMYFUNCTION("GOOGLETRANSLATE($C49,""en"",""ja"")"),"経度")</f>
        <v>経度</v>
      </c>
      <c r="K49" s="3" t="str">
        <f ca="1">IFERROR(__xludf.DUMMYFUNCTION("GOOGLETRANSLATE($C49,""en"",""ko"")"),"경도")</f>
        <v>경도</v>
      </c>
      <c r="L49" s="3" t="str">
        <f ca="1">IFERROR(__xludf.DUMMYFUNCTION("GOOGLETRANSLATE($C49,""en"",""pt-BR"")"),"Longitude")</f>
        <v>Longitude</v>
      </c>
    </row>
    <row r="50" spans="1:12" ht="15.75" customHeight="1" x14ac:dyDescent="0.15">
      <c r="A50" s="3" t="str">
        <f ca="1">IFERROR(__xludf.DUMMYFUNCTION("""COMPUTED_VALUE"""),"Address")</f>
        <v>Address</v>
      </c>
      <c r="B50" s="3" t="str">
        <f ca="1">IFERROR(__xludf.DUMMYFUNCTION("""COMPUTED_VALUE"""),"phone")</f>
        <v>phone</v>
      </c>
      <c r="C50" s="3" t="str">
        <f ca="1">IFERROR(__xludf.DUMMYFUNCTION("""COMPUTED_VALUE"""),"Phone")</f>
        <v>Phone</v>
      </c>
      <c r="D50" s="3" t="s">
        <v>16</v>
      </c>
      <c r="E50" s="3" t="str">
        <f ca="1">IFERROR(__xludf.DUMMYFUNCTION("GOOGLETRANSLATE(C50,""en"",""de"")"),"Telefon")</f>
        <v>Telefon</v>
      </c>
      <c r="F50" s="3" t="str">
        <f ca="1">IFERROR(__xludf.DUMMYFUNCTION("GOOGLETRANSLATE(C50,""en"",""fr"")"),"Téléphone")</f>
        <v>Téléphone</v>
      </c>
      <c r="G50" s="3" t="str">
        <f ca="1">IFERROR(__xludf.DUMMYFUNCTION("GOOGLETRANSLATE(C50,""en"",""es"")"),"Teléfono")</f>
        <v>Teléfono</v>
      </c>
      <c r="H50" s="3" t="str">
        <f ca="1">IFERROR(__xludf.DUMMYFUNCTION("GOOGLETRANSLATE($C50,""en"",""it"")"),"Telefono")</f>
        <v>Telefono</v>
      </c>
      <c r="I50" s="3" t="str">
        <f ca="1">IFERROR(__xludf.DUMMYFUNCTION("GOOGLETRANSLATE($C50,""en"",""zh-cn"")"),"电话")</f>
        <v>电话</v>
      </c>
      <c r="J50" s="3" t="str">
        <f ca="1">IFERROR(__xludf.DUMMYFUNCTION("GOOGLETRANSLATE($C50,""en"",""ja"")"),"電話")</f>
        <v>電話</v>
      </c>
      <c r="K50" s="3" t="str">
        <f ca="1">IFERROR(__xludf.DUMMYFUNCTION("GOOGLETRANSLATE($C50,""en"",""ko"")"),"핸드폰")</f>
        <v>핸드폰</v>
      </c>
      <c r="L50" s="3" t="str">
        <f ca="1">IFERROR(__xludf.DUMMYFUNCTION("GOOGLETRANSLATE($C50,""en"",""pt-BR"")"),"Telefone")</f>
        <v>Telefone</v>
      </c>
    </row>
    <row r="51" spans="1:12" ht="15.75" customHeight="1" x14ac:dyDescent="0.15">
      <c r="A51" s="3" t="str">
        <f ca="1">IFERROR(__xludf.DUMMYFUNCTION("""COMPUTED_VALUE"""),"Address")</f>
        <v>Address</v>
      </c>
      <c r="B51" s="3" t="str">
        <f ca="1">IFERROR(__xludf.DUMMYFUNCTION("""COMPUTED_VALUE"""),"fax")</f>
        <v>fax</v>
      </c>
      <c r="C51" s="3" t="str">
        <f ca="1">IFERROR(__xludf.DUMMYFUNCTION("""COMPUTED_VALUE"""),"Fax")</f>
        <v>Fax</v>
      </c>
      <c r="D51" s="3" t="s">
        <v>16</v>
      </c>
      <c r="E51" s="3" t="str">
        <f ca="1">IFERROR(__xludf.DUMMYFUNCTION("GOOGLETRANSLATE(C51,""en"",""de"")"),"Fax")</f>
        <v>Fax</v>
      </c>
      <c r="F51" s="3" t="str">
        <f ca="1">IFERROR(__xludf.DUMMYFUNCTION("GOOGLETRANSLATE(C51,""en"",""fr"")"),"Fax")</f>
        <v>Fax</v>
      </c>
      <c r="G51" s="3" t="str">
        <f ca="1">IFERROR(__xludf.DUMMYFUNCTION("GOOGLETRANSLATE(C51,""en"",""es"")"),"Fax")</f>
        <v>Fax</v>
      </c>
      <c r="H51" s="3" t="str">
        <f ca="1">IFERROR(__xludf.DUMMYFUNCTION("GOOGLETRANSLATE($C51,""en"",""it"")"),"Fax")</f>
        <v>Fax</v>
      </c>
      <c r="I51" s="3" t="str">
        <f ca="1">IFERROR(__xludf.DUMMYFUNCTION("GOOGLETRANSLATE($C51,""en"",""zh-cn"")"),"传真")</f>
        <v>传真</v>
      </c>
      <c r="J51" s="3" t="str">
        <f ca="1">IFERROR(__xludf.DUMMYFUNCTION("GOOGLETRANSLATE($C51,""en"",""ja"")"),"ファックス")</f>
        <v>ファックス</v>
      </c>
      <c r="K51" s="3" t="str">
        <f ca="1">IFERROR(__xludf.DUMMYFUNCTION("GOOGLETRANSLATE($C51,""en"",""ko"")"),"팩스")</f>
        <v>팩스</v>
      </c>
      <c r="L51" s="3" t="str">
        <f ca="1">IFERROR(__xludf.DUMMYFUNCTION("GOOGLETRANSLATE($C51,""en"",""pt-BR"")"),"Fax")</f>
        <v>Fax</v>
      </c>
    </row>
    <row r="52" spans="1:12" ht="15.75" customHeight="1" x14ac:dyDescent="0.15">
      <c r="A52" s="3" t="str">
        <f ca="1">IFERROR(__xludf.DUMMYFUNCTION("""COMPUTED_VALUE"""),"Address")</f>
        <v>Address</v>
      </c>
      <c r="B52" s="3" t="str">
        <f ca="1">IFERROR(__xludf.DUMMYFUNCTION("""COMPUTED_VALUE"""),"status")</f>
        <v>status</v>
      </c>
      <c r="C52" s="3" t="str">
        <f ca="1">IFERROR(__xludf.DUMMYFUNCTION("""COMPUTED_VALUE"""),"Status")</f>
        <v>Status</v>
      </c>
      <c r="D52" s="6" t="s">
        <v>28</v>
      </c>
      <c r="E52" s="3" t="str">
        <f ca="1">IFERROR(__xludf.DUMMYFUNCTION("GOOGLETRANSLATE(C52,""en"",""de"")"),"Status")</f>
        <v>Status</v>
      </c>
      <c r="F52" s="3" t="str">
        <f ca="1">IFERROR(__xludf.DUMMYFUNCTION("GOOGLETRANSLATE(C52,""en"",""fr"")"),"Statut")</f>
        <v>Statut</v>
      </c>
      <c r="G52" s="3" t="str">
        <f ca="1">IFERROR(__xludf.DUMMYFUNCTION("GOOGLETRANSLATE(C52,""en"",""es"")"),"Estado")</f>
        <v>Estado</v>
      </c>
      <c r="H52" s="3" t="str">
        <f ca="1">IFERROR(__xludf.DUMMYFUNCTION("GOOGLETRANSLATE($C52,""en"",""it"")"),"Stato")</f>
        <v>Stato</v>
      </c>
      <c r="I52" s="3" t="str">
        <f ca="1">IFERROR(__xludf.DUMMYFUNCTION("GOOGLETRANSLATE($C52,""en"",""zh-cn"")"),"地位")</f>
        <v>地位</v>
      </c>
      <c r="J52" s="3" t="str">
        <f ca="1">IFERROR(__xludf.DUMMYFUNCTION("GOOGLETRANSLATE($C52,""en"",""ja"")"),"状態")</f>
        <v>状態</v>
      </c>
      <c r="K52" s="3" t="str">
        <f ca="1">IFERROR(__xludf.DUMMYFUNCTION("GOOGLETRANSLATE($C52,""en"",""ko"")"),"상태")</f>
        <v>상태</v>
      </c>
      <c r="L52" s="3" t="str">
        <f ca="1">IFERROR(__xludf.DUMMYFUNCTION("GOOGLETRANSLATE($C52,""en"",""pt-BR"")"),"Status")</f>
        <v>Status</v>
      </c>
    </row>
    <row r="53" spans="1:12" ht="15.75" customHeight="1" x14ac:dyDescent="0.15">
      <c r="A53" s="3" t="str">
        <f ca="1">IFERROR(__xludf.DUMMYFUNCTION("""COMPUTED_VALUE"""),"Address")</f>
        <v>Address</v>
      </c>
      <c r="B53" s="3" t="str">
        <f ca="1">IFERROR(__xludf.DUMMYFUNCTION("""COMPUTED_VALUE"""),"home")</f>
        <v>home</v>
      </c>
      <c r="C53" s="3" t="str">
        <f ca="1">IFERROR(__xludf.DUMMYFUNCTION("""COMPUTED_VALUE"""),"Home")</f>
        <v>Home</v>
      </c>
      <c r="D53" s="3" t="s">
        <v>16</v>
      </c>
      <c r="E53" s="3" t="str">
        <f ca="1">IFERROR(__xludf.DUMMYFUNCTION("GOOGLETRANSLATE(C53,""en"",""de"")"),"Heim")</f>
        <v>Heim</v>
      </c>
      <c r="F53" s="3" t="str">
        <f ca="1">IFERROR(__xludf.DUMMYFUNCTION("GOOGLETRANSLATE(C53,""en"",""fr"")"),"Maison")</f>
        <v>Maison</v>
      </c>
      <c r="G53" s="3" t="str">
        <f ca="1">IFERROR(__xludf.DUMMYFUNCTION("GOOGLETRANSLATE(C53,""en"",""es"")"),"Hogar")</f>
        <v>Hogar</v>
      </c>
      <c r="H53" s="3" t="str">
        <f ca="1">IFERROR(__xludf.DUMMYFUNCTION("GOOGLETRANSLATE($C53,""en"",""it"")"),"Casa")</f>
        <v>Casa</v>
      </c>
      <c r="I53" s="3" t="str">
        <f ca="1">IFERROR(__xludf.DUMMYFUNCTION("GOOGLETRANSLATE($C53,""en"",""zh-cn"")"),"家")</f>
        <v>家</v>
      </c>
      <c r="J53" s="3" t="str">
        <f ca="1">IFERROR(__xludf.DUMMYFUNCTION("GOOGLETRANSLATE($C53,""en"",""ja"")"),"家")</f>
        <v>家</v>
      </c>
      <c r="K53" s="3" t="str">
        <f ca="1">IFERROR(__xludf.DUMMYFUNCTION("GOOGLETRANSLATE($C53,""en"",""ko"")"),"집")</f>
        <v>집</v>
      </c>
      <c r="L53" s="3" t="str">
        <f ca="1">IFERROR(__xludf.DUMMYFUNCTION("GOOGLETRANSLATE($C53,""en"",""pt-BR"")"),"Lar")</f>
        <v>Lar</v>
      </c>
    </row>
    <row r="54" spans="1:12" ht="15.75" customHeight="1" x14ac:dyDescent="0.15">
      <c r="A54" s="3" t="str">
        <f ca="1">IFERROR(__xludf.DUMMYFUNCTION("""COMPUTED_VALUE"""),"Address")</f>
        <v>Address</v>
      </c>
      <c r="B54" s="3" t="str">
        <f ca="1">IFERROR(__xludf.DUMMYFUNCTION("""COMPUTED_VALUE"""),"business")</f>
        <v>business</v>
      </c>
      <c r="C54" s="3" t="str">
        <f ca="1">IFERROR(__xludf.DUMMYFUNCTION("""COMPUTED_VALUE"""),"Business")</f>
        <v>Business</v>
      </c>
      <c r="D54" s="3" t="s">
        <v>16</v>
      </c>
      <c r="E54" s="3" t="str">
        <f ca="1">IFERROR(__xludf.DUMMYFUNCTION("GOOGLETRANSLATE(C54,""en"",""de"")"),"Geschäft")</f>
        <v>Geschäft</v>
      </c>
      <c r="F54" s="3" t="str">
        <f ca="1">IFERROR(__xludf.DUMMYFUNCTION("GOOGLETRANSLATE(C54,""en"",""fr"")"),"Entreprise")</f>
        <v>Entreprise</v>
      </c>
      <c r="G54" s="3" t="str">
        <f ca="1">IFERROR(__xludf.DUMMYFUNCTION("GOOGLETRANSLATE(C54,""en"",""es"")"),"Negocio")</f>
        <v>Negocio</v>
      </c>
      <c r="H54" s="3" t="str">
        <f ca="1">IFERROR(__xludf.DUMMYFUNCTION("GOOGLETRANSLATE($C54,""en"",""it"")"),"Attività commerciale")</f>
        <v>Attività commerciale</v>
      </c>
      <c r="I54" s="3" t="str">
        <f ca="1">IFERROR(__xludf.DUMMYFUNCTION("GOOGLETRANSLATE($C54,""en"",""zh-cn"")"),"商业")</f>
        <v>商业</v>
      </c>
      <c r="J54" s="3" t="str">
        <f ca="1">IFERROR(__xludf.DUMMYFUNCTION("GOOGLETRANSLATE($C54,""en"",""ja"")"),"仕事")</f>
        <v>仕事</v>
      </c>
      <c r="K54" s="3" t="str">
        <f ca="1">IFERROR(__xludf.DUMMYFUNCTION("GOOGLETRANSLATE($C54,""en"",""ko"")"),"사업")</f>
        <v>사업</v>
      </c>
      <c r="L54" s="3" t="str">
        <f ca="1">IFERROR(__xludf.DUMMYFUNCTION("GOOGLETRANSLATE($C54,""en"",""pt-BR"")"),"Negócios")</f>
        <v>Negócios</v>
      </c>
    </row>
    <row r="55" spans="1:12" ht="15.75" customHeight="1" x14ac:dyDescent="0.15">
      <c r="A55" s="3" t="str">
        <f ca="1">IFERROR(__xludf.DUMMYFUNCTION("""COMPUTED_VALUE"""),"Address")</f>
        <v>Address</v>
      </c>
      <c r="B55" s="3" t="str">
        <f ca="1">IFERROR(__xludf.DUMMYFUNCTION("""COMPUTED_VALUE"""),"billing")</f>
        <v>billing</v>
      </c>
      <c r="C55" s="3" t="str">
        <f ca="1">IFERROR(__xludf.DUMMYFUNCTION("""COMPUTED_VALUE"""),"Billing")</f>
        <v>Billing</v>
      </c>
      <c r="D55" s="3" t="s">
        <v>16</v>
      </c>
      <c r="E55" s="3" t="str">
        <f ca="1">IFERROR(__xludf.DUMMYFUNCTION("GOOGLETRANSLATE(C55,""en"",""de"")"),"Abrechnung")</f>
        <v>Abrechnung</v>
      </c>
      <c r="F55" s="3" t="str">
        <f ca="1">IFERROR(__xludf.DUMMYFUNCTION("GOOGLETRANSLATE(C55,""en"",""fr"")"),"Facturation")</f>
        <v>Facturation</v>
      </c>
      <c r="G55" s="3" t="str">
        <f ca="1">IFERROR(__xludf.DUMMYFUNCTION("GOOGLETRANSLATE(C55,""en"",""es"")"),"Facturación")</f>
        <v>Facturación</v>
      </c>
      <c r="H55" s="3" t="str">
        <f ca="1">IFERROR(__xludf.DUMMYFUNCTION("GOOGLETRANSLATE($C55,""en"",""it"")"),"Fatturazione")</f>
        <v>Fatturazione</v>
      </c>
      <c r="I55" s="3" t="str">
        <f ca="1">IFERROR(__xludf.DUMMYFUNCTION("GOOGLETRANSLATE($C55,""en"",""zh-cn"")"),"计费")</f>
        <v>计费</v>
      </c>
      <c r="J55" s="3" t="str">
        <f ca="1">IFERROR(__xludf.DUMMYFUNCTION("GOOGLETRANSLATE($C55,""en"",""ja"")"),"請求する")</f>
        <v>請求する</v>
      </c>
      <c r="K55" s="3" t="str">
        <f ca="1">IFERROR(__xludf.DUMMYFUNCTION("GOOGLETRANSLATE($C55,""en"",""ko"")"),"청구")</f>
        <v>청구</v>
      </c>
      <c r="L55" s="3" t="str">
        <f ca="1">IFERROR(__xludf.DUMMYFUNCTION("GOOGLETRANSLATE($C55,""en"",""pt-BR"")"),"Cobrança")</f>
        <v>Cobrança</v>
      </c>
    </row>
    <row r="56" spans="1:12" ht="15.75" customHeight="1" x14ac:dyDescent="0.15">
      <c r="A56" s="3" t="str">
        <f ca="1">IFERROR(__xludf.DUMMYFUNCTION("""COMPUTED_VALUE"""),"Address")</f>
        <v>Address</v>
      </c>
      <c r="B56" s="3" t="str">
        <f ca="1">IFERROR(__xludf.DUMMYFUNCTION("""COMPUTED_VALUE"""),"shipping")</f>
        <v>shipping</v>
      </c>
      <c r="C56" s="3" t="str">
        <f ca="1">IFERROR(__xludf.DUMMYFUNCTION("""COMPUTED_VALUE"""),"Shipping")</f>
        <v>Shipping</v>
      </c>
      <c r="D56" s="3" t="s">
        <v>16</v>
      </c>
      <c r="E56" s="3" t="str">
        <f ca="1">IFERROR(__xludf.DUMMYFUNCTION("GOOGLETRANSLATE(C56,""en"",""de"")"),"Versand")</f>
        <v>Versand</v>
      </c>
      <c r="F56" s="3" t="str">
        <f ca="1">IFERROR(__xludf.DUMMYFUNCTION("GOOGLETRANSLATE(C56,""en"",""fr"")"),"Expédition")</f>
        <v>Expédition</v>
      </c>
      <c r="G56" s="3" t="str">
        <f ca="1">IFERROR(__xludf.DUMMYFUNCTION("GOOGLETRANSLATE(C56,""en"",""es"")"),"Envío")</f>
        <v>Envío</v>
      </c>
      <c r="H56" s="3" t="str">
        <f ca="1">IFERROR(__xludf.DUMMYFUNCTION("GOOGLETRANSLATE($C56,""en"",""it"")"),"Spedizione")</f>
        <v>Spedizione</v>
      </c>
      <c r="I56" s="3" t="str">
        <f ca="1">IFERROR(__xludf.DUMMYFUNCTION("GOOGLETRANSLATE($C56,""en"",""zh-cn"")"),"船运")</f>
        <v>船运</v>
      </c>
      <c r="J56" s="3" t="str">
        <f ca="1">IFERROR(__xludf.DUMMYFUNCTION("GOOGLETRANSLATE($C56,""en"",""ja"")"),"配送")</f>
        <v>配送</v>
      </c>
      <c r="K56" s="3" t="str">
        <f ca="1">IFERROR(__xludf.DUMMYFUNCTION("GOOGLETRANSLATE($C56,""en"",""ko"")"),"배송")</f>
        <v>배송</v>
      </c>
      <c r="L56" s="3" t="str">
        <f ca="1">IFERROR(__xludf.DUMMYFUNCTION("GOOGLETRANSLATE($C56,""en"",""pt-BR"")"),"Envio")</f>
        <v>Envio</v>
      </c>
    </row>
    <row r="57" spans="1:12" ht="15.75" customHeight="1" x14ac:dyDescent="0.15">
      <c r="A57" s="3" t="str">
        <f ca="1">IFERROR(__xludf.DUMMYFUNCTION("""COMPUTED_VALUE"""),"Address")</f>
        <v>Address</v>
      </c>
      <c r="B57" s="3" t="str">
        <f ca="1">IFERROR(__xludf.DUMMYFUNCTION("""COMPUTED_VALUE"""),"sample_shipping")</f>
        <v>sample_shipping</v>
      </c>
      <c r="C57" s="3" t="str">
        <f ca="1">IFERROR(__xludf.DUMMYFUNCTION("""COMPUTED_VALUE"""),"Sample Shipping")</f>
        <v>Sample Shipping</v>
      </c>
      <c r="D57" s="3" t="s">
        <v>16</v>
      </c>
      <c r="E57" s="3" t="str">
        <f ca="1">IFERROR(__xludf.DUMMYFUNCTION("GOOGLETRANSLATE(C57,""en"",""de"")"),"Musterversand")</f>
        <v>Musterversand</v>
      </c>
      <c r="F57" s="3" t="str">
        <f ca="1">IFERROR(__xludf.DUMMYFUNCTION("GOOGLETRANSLATE(C57,""en"",""fr"")"),"Exemple d'expédition")</f>
        <v>Exemple d'expédition</v>
      </c>
      <c r="G57" s="3" t="str">
        <f ca="1">IFERROR(__xludf.DUMMYFUNCTION("GOOGLETRANSLATE(C57,""en"",""es"")"),"Envío de muestra")</f>
        <v>Envío de muestra</v>
      </c>
      <c r="H57" s="3" t="str">
        <f ca="1">IFERROR(__xludf.DUMMYFUNCTION("GOOGLETRANSLATE($C57,""en"",""it"")"),"Spedizione del campione")</f>
        <v>Spedizione del campione</v>
      </c>
      <c r="I57" s="3" t="str">
        <f ca="1">IFERROR(__xludf.DUMMYFUNCTION("GOOGLETRANSLATE($C57,""en"",""zh-cn"")"),"样品运输")</f>
        <v>样品运输</v>
      </c>
      <c r="J57" s="3" t="str">
        <f ca="1">IFERROR(__xludf.DUMMYFUNCTION("GOOGLETRANSLATE($C57,""en"",""ja"")"),"サンプルの発送")</f>
        <v>サンプルの発送</v>
      </c>
      <c r="K57" s="3" t="str">
        <f ca="1">IFERROR(__xludf.DUMMYFUNCTION("GOOGLETRANSLATE($C57,""en"",""ko"")"),"샘플 배송")</f>
        <v>샘플 배송</v>
      </c>
      <c r="L57" s="3" t="str">
        <f ca="1">IFERROR(__xludf.DUMMYFUNCTION("GOOGLETRANSLATE($C57,""en"",""pt-BR"")"),"Envio de amostra")</f>
        <v>Envio de amostra</v>
      </c>
    </row>
    <row r="58" spans="1:12" ht="15.75" customHeight="1" x14ac:dyDescent="0.15">
      <c r="A58" s="3"/>
      <c r="B58" s="3"/>
      <c r="C58" s="3"/>
    </row>
    <row r="59" spans="1:12" ht="15.75" customHeight="1" x14ac:dyDescent="0.15">
      <c r="A59" s="3"/>
      <c r="B59" s="3"/>
      <c r="C59" s="3"/>
    </row>
    <row r="60" spans="1:12" ht="13" x14ac:dyDescent="0.15">
      <c r="A60" s="3"/>
      <c r="B60" s="3"/>
      <c r="C60" s="3"/>
    </row>
    <row r="61" spans="1:12" ht="13" x14ac:dyDescent="0.15">
      <c r="A61" s="3"/>
      <c r="B61" s="3"/>
      <c r="C61" s="3"/>
    </row>
    <row r="62" spans="1:12" ht="13" x14ac:dyDescent="0.15">
      <c r="A62" s="3"/>
      <c r="B62" s="3"/>
      <c r="C62" s="3"/>
    </row>
    <row r="63" spans="1:12" ht="13" x14ac:dyDescent="0.15">
      <c r="A63" s="3"/>
      <c r="B63" s="3"/>
      <c r="C63" s="3"/>
    </row>
    <row r="64" spans="1:12" ht="13" x14ac:dyDescent="0.15">
      <c r="A64" s="3"/>
      <c r="B64" s="3"/>
      <c r="C64" s="3"/>
    </row>
    <row r="65" spans="1:3" ht="13" x14ac:dyDescent="0.15">
      <c r="A65" s="3"/>
      <c r="B65" s="3"/>
      <c r="C65" s="3"/>
    </row>
    <row r="66" spans="1:3" ht="13" x14ac:dyDescent="0.15">
      <c r="A66" s="3"/>
      <c r="B66" s="3"/>
      <c r="C66" s="3"/>
    </row>
    <row r="67" spans="1:3" ht="13" x14ac:dyDescent="0.15">
      <c r="A67" s="3"/>
      <c r="B67" s="3"/>
      <c r="C67" s="3"/>
    </row>
    <row r="68" spans="1:3" ht="13" x14ac:dyDescent="0.15">
      <c r="A68" s="3"/>
      <c r="B68" s="3"/>
      <c r="C68" s="3"/>
    </row>
    <row r="69" spans="1:3" ht="13" x14ac:dyDescent="0.15">
      <c r="A69" s="3"/>
      <c r="B69" s="3"/>
      <c r="C69" s="3"/>
    </row>
    <row r="70" spans="1:3" ht="13" x14ac:dyDescent="0.15">
      <c r="A70" s="3"/>
      <c r="B70" s="3"/>
      <c r="C70" s="3"/>
    </row>
    <row r="71" spans="1:3" ht="13" x14ac:dyDescent="0.15">
      <c r="A71" s="3"/>
      <c r="B71" s="3"/>
      <c r="C71" s="3"/>
    </row>
    <row r="72" spans="1:3" ht="13" x14ac:dyDescent="0.15">
      <c r="A72" s="3"/>
      <c r="B72" s="3"/>
      <c r="C72" s="3"/>
    </row>
    <row r="73" spans="1:3" ht="13" x14ac:dyDescent="0.15">
      <c r="A73" s="3"/>
      <c r="B73" s="3"/>
      <c r="C73" s="3"/>
    </row>
    <row r="74" spans="1:3" ht="13" x14ac:dyDescent="0.15">
      <c r="A74" s="3"/>
      <c r="B74" s="3"/>
      <c r="C74" s="3"/>
    </row>
    <row r="75" spans="1:3" ht="13" x14ac:dyDescent="0.15">
      <c r="A75" s="3"/>
      <c r="B75" s="3"/>
      <c r="C75" s="3"/>
    </row>
    <row r="76" spans="1:3" ht="13" x14ac:dyDescent="0.15">
      <c r="A76" s="3"/>
      <c r="B76" s="3"/>
      <c r="C76" s="3"/>
    </row>
    <row r="77" spans="1:3" ht="13" x14ac:dyDescent="0.15">
      <c r="A77" s="3"/>
      <c r="B77" s="3"/>
      <c r="C77" s="3"/>
    </row>
    <row r="78" spans="1:3" ht="13" x14ac:dyDescent="0.15">
      <c r="A78" s="3"/>
      <c r="B78" s="3"/>
      <c r="C78" s="3"/>
    </row>
    <row r="79" spans="1:3" ht="13" x14ac:dyDescent="0.15">
      <c r="A79" s="3"/>
      <c r="B79" s="3"/>
      <c r="C79" s="3"/>
    </row>
    <row r="80" spans="1:3" ht="13" x14ac:dyDescent="0.15">
      <c r="A80" s="3"/>
      <c r="B80" s="3"/>
      <c r="C80" s="3"/>
    </row>
    <row r="81" spans="1:3" ht="13" x14ac:dyDescent="0.15">
      <c r="A81" s="3"/>
      <c r="B81" s="3"/>
      <c r="C81" s="3"/>
    </row>
    <row r="82" spans="1:3" ht="13" x14ac:dyDescent="0.15">
      <c r="A82" s="3"/>
      <c r="B82" s="3"/>
      <c r="C82" s="3"/>
    </row>
    <row r="83" spans="1:3" ht="13" x14ac:dyDescent="0.15">
      <c r="A83" s="3"/>
      <c r="B83" s="3"/>
      <c r="C83" s="3"/>
    </row>
    <row r="84" spans="1:3" ht="13" x14ac:dyDescent="0.15">
      <c r="A84" s="3"/>
      <c r="B84" s="3"/>
      <c r="C84" s="3"/>
    </row>
    <row r="85" spans="1:3" ht="13" x14ac:dyDescent="0.15">
      <c r="A85" s="3"/>
      <c r="B85" s="3"/>
      <c r="C85" s="3"/>
    </row>
    <row r="86" spans="1:3" ht="13" x14ac:dyDescent="0.15">
      <c r="A86" s="3"/>
      <c r="B86" s="3"/>
      <c r="C86" s="3"/>
    </row>
    <row r="87" spans="1:3" ht="13" x14ac:dyDescent="0.15">
      <c r="A87" s="3"/>
      <c r="B87" s="3"/>
      <c r="C87" s="3"/>
    </row>
    <row r="88" spans="1:3" ht="13" x14ac:dyDescent="0.15">
      <c r="A88" s="3"/>
      <c r="B88" s="3"/>
      <c r="C88" s="3"/>
    </row>
    <row r="89" spans="1:3" ht="13" x14ac:dyDescent="0.15">
      <c r="A89" s="3"/>
      <c r="B89" s="3"/>
      <c r="C89" s="3"/>
    </row>
    <row r="90" spans="1:3" ht="13" x14ac:dyDescent="0.15">
      <c r="A90" s="3"/>
      <c r="B90" s="3"/>
      <c r="C90" s="3"/>
    </row>
    <row r="91" spans="1:3" ht="13" x14ac:dyDescent="0.15">
      <c r="A91" s="3"/>
      <c r="B91" s="3"/>
      <c r="C91" s="3"/>
    </row>
    <row r="92" spans="1:3" ht="13" x14ac:dyDescent="0.15">
      <c r="A92" s="3"/>
      <c r="B92" s="3"/>
      <c r="C92" s="3"/>
    </row>
    <row r="93" spans="1:3" ht="13" x14ac:dyDescent="0.15">
      <c r="A93" s="3"/>
      <c r="B93" s="3"/>
      <c r="C93" s="3"/>
    </row>
    <row r="94" spans="1:3" ht="13" x14ac:dyDescent="0.15">
      <c r="A94" s="3"/>
      <c r="B94" s="3"/>
      <c r="C94" s="3"/>
    </row>
    <row r="95" spans="1:3" ht="13" x14ac:dyDescent="0.15">
      <c r="A95" s="3"/>
      <c r="B95" s="3"/>
      <c r="C95" s="3"/>
    </row>
    <row r="96" spans="1:3" ht="13" x14ac:dyDescent="0.15">
      <c r="A96" s="3"/>
      <c r="B96" s="3"/>
      <c r="C96" s="3"/>
    </row>
    <row r="97" spans="1:3" ht="13" x14ac:dyDescent="0.15">
      <c r="A97" s="3"/>
      <c r="B97" s="3"/>
      <c r="C97" s="3"/>
    </row>
    <row r="98" spans="1:3" ht="13" x14ac:dyDescent="0.15">
      <c r="A98" s="3"/>
      <c r="B98" s="3"/>
      <c r="C98" s="3"/>
    </row>
    <row r="99" spans="1:3" ht="13" x14ac:dyDescent="0.15">
      <c r="A99" s="3"/>
      <c r="B99" s="3"/>
      <c r="C99" s="3"/>
    </row>
    <row r="100" spans="1:3" ht="13" x14ac:dyDescent="0.15">
      <c r="A100" s="3"/>
      <c r="B100" s="3"/>
      <c r="C100" s="3"/>
    </row>
    <row r="101" spans="1:3" ht="13" x14ac:dyDescent="0.15">
      <c r="A101" s="3"/>
      <c r="B101" s="3"/>
      <c r="C101" s="3"/>
    </row>
    <row r="102" spans="1:3" ht="13" x14ac:dyDescent="0.15">
      <c r="A102" s="3"/>
      <c r="B102" s="3"/>
      <c r="C102" s="3"/>
    </row>
    <row r="103" spans="1:3" ht="13" x14ac:dyDescent="0.15">
      <c r="A103" s="3"/>
      <c r="B103" s="3"/>
      <c r="C103" s="3"/>
    </row>
    <row r="104" spans="1:3" ht="13" x14ac:dyDescent="0.15">
      <c r="A104" s="3"/>
      <c r="B104" s="3"/>
      <c r="C104" s="3"/>
    </row>
    <row r="105" spans="1:3" ht="13" x14ac:dyDescent="0.15">
      <c r="A105" s="3"/>
      <c r="B105" s="3"/>
      <c r="C105" s="3"/>
    </row>
    <row r="106" spans="1:3" ht="13" x14ac:dyDescent="0.15">
      <c r="A106" s="3"/>
      <c r="B106" s="3"/>
      <c r="C106" s="3"/>
    </row>
    <row r="107" spans="1:3" ht="13" x14ac:dyDescent="0.15">
      <c r="A107" s="3"/>
      <c r="B107" s="3"/>
      <c r="C107" s="3"/>
    </row>
    <row r="108" spans="1:3" ht="13" x14ac:dyDescent="0.15">
      <c r="A108" s="3"/>
      <c r="B108" s="3"/>
      <c r="C108" s="3"/>
    </row>
    <row r="109" spans="1:3" ht="13" x14ac:dyDescent="0.15">
      <c r="A109" s="3"/>
      <c r="B109" s="3"/>
      <c r="C109" s="3"/>
    </row>
    <row r="110" spans="1:3" ht="13" x14ac:dyDescent="0.15">
      <c r="A110" s="3"/>
      <c r="B110" s="3"/>
      <c r="C110" s="3"/>
    </row>
    <row r="111" spans="1:3" ht="13" x14ac:dyDescent="0.15">
      <c r="A111" s="3"/>
      <c r="B111" s="3"/>
      <c r="C111" s="3"/>
    </row>
    <row r="112" spans="1:3" ht="13" x14ac:dyDescent="0.15">
      <c r="A112" s="3"/>
      <c r="B112" s="3"/>
      <c r="C112" s="3"/>
    </row>
    <row r="113" spans="1:3" ht="13" x14ac:dyDescent="0.15">
      <c r="A113" s="3"/>
      <c r="B113" s="3"/>
      <c r="C113" s="3"/>
    </row>
    <row r="114" spans="1:3" ht="13" x14ac:dyDescent="0.15">
      <c r="A114" s="3"/>
      <c r="B114" s="3"/>
      <c r="C114" s="3"/>
    </row>
    <row r="115" spans="1:3" ht="13" x14ac:dyDescent="0.15">
      <c r="A115" s="3"/>
      <c r="B115" s="3"/>
      <c r="C115" s="3"/>
    </row>
    <row r="116" spans="1:3" ht="13" x14ac:dyDescent="0.15">
      <c r="A116" s="3"/>
      <c r="B116" s="3"/>
      <c r="C116" s="3"/>
    </row>
    <row r="117" spans="1:3" ht="13" x14ac:dyDescent="0.15">
      <c r="A117" s="3"/>
      <c r="B117" s="3"/>
      <c r="C117" s="3"/>
    </row>
    <row r="118" spans="1:3" ht="13" x14ac:dyDescent="0.15">
      <c r="A118" s="3"/>
      <c r="B118" s="3"/>
      <c r="C118" s="3"/>
    </row>
    <row r="119" spans="1:3" ht="13" x14ac:dyDescent="0.15">
      <c r="A119" s="3"/>
      <c r="B119" s="3"/>
      <c r="C119" s="3"/>
    </row>
    <row r="120" spans="1:3" ht="13" x14ac:dyDescent="0.15">
      <c r="A120" s="3"/>
      <c r="B120" s="3"/>
      <c r="C120" s="3"/>
    </row>
    <row r="121" spans="1:3" ht="13" x14ac:dyDescent="0.15">
      <c r="A121" s="3"/>
      <c r="B121" s="3"/>
      <c r="C121" s="3"/>
    </row>
    <row r="122" spans="1:3" ht="13" x14ac:dyDescent="0.15">
      <c r="A122" s="3"/>
      <c r="B122" s="3"/>
      <c r="C122" s="3"/>
    </row>
    <row r="123" spans="1:3" ht="13" x14ac:dyDescent="0.15">
      <c r="A123" s="3"/>
      <c r="B123" s="3"/>
      <c r="C123" s="3"/>
    </row>
    <row r="124" spans="1:3" ht="13" x14ac:dyDescent="0.15">
      <c r="A124" s="3"/>
      <c r="B124" s="3"/>
      <c r="C124" s="3"/>
    </row>
    <row r="125" spans="1:3" ht="13" x14ac:dyDescent="0.15">
      <c r="A125" s="3"/>
      <c r="B125" s="3"/>
      <c r="C125" s="3"/>
    </row>
    <row r="126" spans="1:3" ht="13" x14ac:dyDescent="0.15">
      <c r="A126" s="3"/>
      <c r="B126" s="3"/>
      <c r="C126" s="3"/>
    </row>
    <row r="127" spans="1:3" ht="13" x14ac:dyDescent="0.15">
      <c r="A127" s="3"/>
      <c r="B127" s="3"/>
      <c r="C127" s="3"/>
    </row>
    <row r="128" spans="1:3" ht="13" x14ac:dyDescent="0.15">
      <c r="A128" s="3"/>
      <c r="B128" s="3"/>
      <c r="C128" s="3"/>
    </row>
    <row r="129" spans="1:3" ht="13" x14ac:dyDescent="0.15">
      <c r="A129" s="3"/>
      <c r="B129" s="3"/>
      <c r="C129" s="3"/>
    </row>
    <row r="130" spans="1:3" ht="13" x14ac:dyDescent="0.15">
      <c r="A130" s="3"/>
      <c r="B130" s="3"/>
      <c r="C130" s="3"/>
    </row>
    <row r="131" spans="1:3" ht="13" x14ac:dyDescent="0.15">
      <c r="A131" s="3"/>
      <c r="B131" s="3"/>
      <c r="C131" s="3"/>
    </row>
    <row r="132" spans="1:3" ht="13" x14ac:dyDescent="0.15">
      <c r="A132" s="3"/>
      <c r="B132" s="3"/>
      <c r="C132" s="3"/>
    </row>
    <row r="133" spans="1:3" ht="13" x14ac:dyDescent="0.15">
      <c r="A133" s="3"/>
      <c r="B133" s="3"/>
      <c r="C133" s="3"/>
    </row>
    <row r="134" spans="1:3" ht="13" x14ac:dyDescent="0.15">
      <c r="A134" s="3"/>
      <c r="B134" s="3"/>
      <c r="C134" s="3"/>
    </row>
    <row r="135" spans="1:3" ht="13" x14ac:dyDescent="0.15">
      <c r="A135" s="3"/>
      <c r="B135" s="3"/>
      <c r="C135" s="3"/>
    </row>
    <row r="136" spans="1:3" ht="13" x14ac:dyDescent="0.15">
      <c r="A136" s="3"/>
      <c r="B136" s="3"/>
      <c r="C136" s="3"/>
    </row>
    <row r="137" spans="1:3" ht="13" x14ac:dyDescent="0.15">
      <c r="A137" s="3"/>
      <c r="B137" s="3"/>
      <c r="C137" s="3"/>
    </row>
    <row r="138" spans="1:3" ht="13" x14ac:dyDescent="0.15">
      <c r="A138" s="3"/>
      <c r="B138" s="3"/>
      <c r="C138" s="3"/>
    </row>
    <row r="139" spans="1:3" ht="13" x14ac:dyDescent="0.15">
      <c r="A139" s="3"/>
      <c r="B139" s="3"/>
      <c r="C139" s="3"/>
    </row>
    <row r="140" spans="1:3" ht="13" x14ac:dyDescent="0.15">
      <c r="A140" s="3"/>
      <c r="B140" s="3"/>
      <c r="C140" s="3"/>
    </row>
    <row r="141" spans="1:3" ht="13" x14ac:dyDescent="0.15">
      <c r="A141" s="3"/>
      <c r="B141" s="3"/>
      <c r="C141" s="3"/>
    </row>
    <row r="142" spans="1:3" ht="13" x14ac:dyDescent="0.15">
      <c r="A142" s="3"/>
      <c r="B142" s="3"/>
      <c r="C142" s="3"/>
    </row>
    <row r="143" spans="1:3" ht="13" x14ac:dyDescent="0.15">
      <c r="A143" s="3"/>
      <c r="B143" s="3"/>
      <c r="C143" s="3"/>
    </row>
    <row r="144" spans="1:3" ht="13" x14ac:dyDescent="0.15">
      <c r="A144" s="3"/>
      <c r="B144" s="3"/>
      <c r="C144" s="3"/>
    </row>
    <row r="145" spans="1:3" ht="13" x14ac:dyDescent="0.15">
      <c r="A145" s="3"/>
      <c r="B145" s="3"/>
      <c r="C145" s="3"/>
    </row>
    <row r="146" spans="1:3" ht="13" x14ac:dyDescent="0.15">
      <c r="A146" s="3"/>
      <c r="B146" s="3"/>
      <c r="C146" s="3"/>
    </row>
    <row r="147" spans="1:3" ht="13" x14ac:dyDescent="0.15">
      <c r="A147" s="3"/>
      <c r="B147" s="3"/>
      <c r="C147" s="3"/>
    </row>
    <row r="148" spans="1:3" ht="13" x14ac:dyDescent="0.15">
      <c r="A148" s="3"/>
      <c r="B148" s="3"/>
      <c r="C148" s="3"/>
    </row>
    <row r="149" spans="1:3" ht="13" x14ac:dyDescent="0.15">
      <c r="A149" s="3"/>
      <c r="B149" s="3"/>
      <c r="C149" s="3"/>
    </row>
    <row r="150" spans="1:3" ht="13" x14ac:dyDescent="0.15">
      <c r="A150" s="3"/>
      <c r="B150" s="3"/>
      <c r="C150" s="3"/>
    </row>
    <row r="151" spans="1:3" ht="13" x14ac:dyDescent="0.15">
      <c r="A151" s="3"/>
      <c r="B151" s="3"/>
      <c r="C151" s="3"/>
    </row>
    <row r="152" spans="1:3" ht="13" x14ac:dyDescent="0.15">
      <c r="A152" s="3"/>
      <c r="B152" s="3"/>
      <c r="C152" s="3"/>
    </row>
    <row r="153" spans="1:3" ht="13" x14ac:dyDescent="0.15">
      <c r="A153" s="3"/>
      <c r="B153" s="3"/>
      <c r="C153" s="3"/>
    </row>
    <row r="154" spans="1:3" ht="13" x14ac:dyDescent="0.15">
      <c r="A154" s="3"/>
      <c r="B154" s="3"/>
      <c r="C154" s="3"/>
    </row>
    <row r="155" spans="1:3" ht="13" x14ac:dyDescent="0.15">
      <c r="A155" s="3"/>
      <c r="B155" s="3"/>
      <c r="C155" s="3"/>
    </row>
    <row r="156" spans="1:3" ht="13" x14ac:dyDescent="0.15">
      <c r="A156" s="3"/>
      <c r="B156" s="3"/>
      <c r="C156" s="3"/>
    </row>
    <row r="157" spans="1:3" ht="13" x14ac:dyDescent="0.15">
      <c r="A157" s="3"/>
      <c r="B157" s="3"/>
      <c r="C157" s="3"/>
    </row>
    <row r="158" spans="1:3" ht="13" x14ac:dyDescent="0.15">
      <c r="A158" s="3"/>
      <c r="B158" s="3"/>
      <c r="C158" s="3"/>
    </row>
    <row r="159" spans="1:3" ht="13" x14ac:dyDescent="0.15">
      <c r="A159" s="3"/>
      <c r="B159" s="3"/>
      <c r="C159" s="3"/>
    </row>
    <row r="160" spans="1:3" ht="13" x14ac:dyDescent="0.15">
      <c r="A160" s="3"/>
      <c r="B160" s="3"/>
      <c r="C160" s="3"/>
    </row>
    <row r="161" spans="1:3" ht="13" x14ac:dyDescent="0.15">
      <c r="A161" s="3"/>
      <c r="B161" s="3"/>
      <c r="C161" s="3"/>
    </row>
    <row r="162" spans="1:3" ht="13" x14ac:dyDescent="0.15">
      <c r="A162" s="3"/>
      <c r="B162" s="3"/>
      <c r="C162" s="3"/>
    </row>
    <row r="163" spans="1:3" ht="13" x14ac:dyDescent="0.15">
      <c r="A163" s="3"/>
      <c r="B163" s="3"/>
      <c r="C163" s="3"/>
    </row>
    <row r="164" spans="1:3" ht="13" x14ac:dyDescent="0.15">
      <c r="A164" s="3"/>
      <c r="B164" s="3"/>
      <c r="C164" s="3"/>
    </row>
    <row r="165" spans="1:3" ht="13" x14ac:dyDescent="0.15">
      <c r="A165" s="3"/>
      <c r="B165" s="3"/>
      <c r="C165" s="3"/>
    </row>
    <row r="166" spans="1:3" ht="13" x14ac:dyDescent="0.15">
      <c r="A166" s="3"/>
      <c r="B166" s="3"/>
      <c r="C166" s="3"/>
    </row>
    <row r="167" spans="1:3" ht="13" x14ac:dyDescent="0.15">
      <c r="A167" s="3"/>
      <c r="B167" s="3"/>
      <c r="C167" s="3"/>
    </row>
    <row r="168" spans="1:3" ht="13" x14ac:dyDescent="0.15">
      <c r="A168" s="3"/>
      <c r="B168" s="3"/>
      <c r="C168" s="3"/>
    </row>
    <row r="169" spans="1:3" ht="13" x14ac:dyDescent="0.15">
      <c r="A169" s="3"/>
      <c r="B169" s="3"/>
      <c r="C169" s="3"/>
    </row>
    <row r="170" spans="1:3" ht="13" x14ac:dyDescent="0.15">
      <c r="A170" s="3"/>
      <c r="B170" s="3"/>
      <c r="C170" s="3"/>
    </row>
    <row r="171" spans="1:3" ht="13" x14ac:dyDescent="0.15">
      <c r="A171" s="3"/>
      <c r="B171" s="3"/>
      <c r="C171" s="3"/>
    </row>
    <row r="172" spans="1:3" ht="13" x14ac:dyDescent="0.15">
      <c r="A172" s="3"/>
      <c r="B172" s="3"/>
      <c r="C172" s="3"/>
    </row>
    <row r="173" spans="1:3" ht="13" x14ac:dyDescent="0.15">
      <c r="A173" s="3"/>
      <c r="B173" s="3"/>
      <c r="C173" s="3"/>
    </row>
    <row r="174" spans="1:3" ht="13" x14ac:dyDescent="0.15">
      <c r="A174" s="3"/>
      <c r="B174" s="3"/>
      <c r="C174" s="3"/>
    </row>
    <row r="175" spans="1:3" ht="13" x14ac:dyDescent="0.15">
      <c r="A175" s="3"/>
      <c r="B175" s="3"/>
      <c r="C175" s="3"/>
    </row>
    <row r="176" spans="1:3" ht="13" x14ac:dyDescent="0.15">
      <c r="A176" s="3"/>
      <c r="B176" s="3"/>
      <c r="C176" s="3"/>
    </row>
    <row r="177" spans="1:3" ht="13" x14ac:dyDescent="0.15">
      <c r="A177" s="3"/>
      <c r="B177" s="3"/>
      <c r="C177" s="3"/>
    </row>
    <row r="178" spans="1:3" ht="13" x14ac:dyDescent="0.15">
      <c r="A178" s="3"/>
      <c r="B178" s="3"/>
      <c r="C178" s="3"/>
    </row>
    <row r="179" spans="1:3" ht="13" x14ac:dyDescent="0.15">
      <c r="A179" s="3"/>
      <c r="B179" s="3"/>
      <c r="C179" s="3"/>
    </row>
    <row r="180" spans="1:3" ht="13" x14ac:dyDescent="0.15">
      <c r="A180" s="3"/>
      <c r="B180" s="3"/>
      <c r="C180" s="3"/>
    </row>
    <row r="181" spans="1:3" ht="13" x14ac:dyDescent="0.15">
      <c r="A181" s="3"/>
      <c r="B181" s="3"/>
      <c r="C181" s="3"/>
    </row>
    <row r="182" spans="1:3" ht="13" x14ac:dyDescent="0.15">
      <c r="A182" s="3"/>
      <c r="B182" s="3"/>
      <c r="C182" s="3"/>
    </row>
    <row r="183" spans="1:3" ht="13" x14ac:dyDescent="0.15">
      <c r="A183" s="3"/>
      <c r="B183" s="3"/>
      <c r="C183" s="3"/>
    </row>
    <row r="184" spans="1:3" ht="13" x14ac:dyDescent="0.15">
      <c r="A184" s="3"/>
      <c r="B184" s="3"/>
      <c r="C184" s="3"/>
    </row>
    <row r="185" spans="1:3" ht="13" x14ac:dyDescent="0.15">
      <c r="A185" s="3"/>
      <c r="B185" s="3"/>
      <c r="C185" s="3"/>
    </row>
    <row r="186" spans="1:3" ht="13" x14ac:dyDescent="0.15">
      <c r="A186" s="3"/>
      <c r="B186" s="3"/>
      <c r="C186" s="3"/>
    </row>
    <row r="187" spans="1:3" ht="13" x14ac:dyDescent="0.15">
      <c r="A187" s="3"/>
      <c r="B187" s="3"/>
      <c r="C187" s="3"/>
    </row>
    <row r="188" spans="1:3" ht="13" x14ac:dyDescent="0.15">
      <c r="A188" s="3"/>
      <c r="B188" s="3"/>
      <c r="C188" s="3"/>
    </row>
    <row r="189" spans="1:3" ht="13" x14ac:dyDescent="0.15">
      <c r="A189" s="3"/>
      <c r="B189" s="3"/>
      <c r="C189" s="3"/>
    </row>
    <row r="190" spans="1:3" ht="13" x14ac:dyDescent="0.15">
      <c r="A190" s="3"/>
      <c r="B190" s="3"/>
      <c r="C190" s="3"/>
    </row>
    <row r="191" spans="1:3" ht="13" x14ac:dyDescent="0.15">
      <c r="A191" s="3"/>
      <c r="B191" s="3"/>
      <c r="C191" s="3"/>
    </row>
    <row r="192" spans="1:3" ht="13" x14ac:dyDescent="0.15">
      <c r="A192" s="3"/>
      <c r="B192" s="3"/>
      <c r="C192" s="3"/>
    </row>
    <row r="193" spans="1:3" ht="13" x14ac:dyDescent="0.15">
      <c r="A193" s="3"/>
      <c r="B193" s="3"/>
      <c r="C193" s="3"/>
    </row>
    <row r="194" spans="1:3" ht="13" x14ac:dyDescent="0.15">
      <c r="A194" s="3"/>
      <c r="B194" s="3"/>
      <c r="C194" s="3"/>
    </row>
    <row r="195" spans="1:3" ht="13" x14ac:dyDescent="0.15">
      <c r="A195" s="3"/>
      <c r="B195" s="3"/>
      <c r="C195" s="3"/>
    </row>
    <row r="196" spans="1:3" ht="13" x14ac:dyDescent="0.15">
      <c r="A196" s="3"/>
      <c r="B196" s="3"/>
      <c r="C196" s="3"/>
    </row>
    <row r="197" spans="1:3" ht="13" x14ac:dyDescent="0.15">
      <c r="A197" s="3"/>
      <c r="B197" s="3"/>
      <c r="C197" s="3"/>
    </row>
    <row r="198" spans="1:3" ht="13" x14ac:dyDescent="0.15">
      <c r="A198" s="3"/>
      <c r="B198" s="3"/>
      <c r="C198" s="3"/>
    </row>
    <row r="199" spans="1:3" ht="13" x14ac:dyDescent="0.15">
      <c r="A199" s="3"/>
      <c r="B199" s="3"/>
      <c r="C199" s="3"/>
    </row>
    <row r="200" spans="1:3" ht="13" x14ac:dyDescent="0.15">
      <c r="A200" s="3"/>
      <c r="B200" s="3"/>
      <c r="C200" s="3"/>
    </row>
    <row r="201" spans="1:3" ht="13" x14ac:dyDescent="0.15">
      <c r="A201" s="3"/>
      <c r="B201" s="3"/>
      <c r="C201" s="3"/>
    </row>
    <row r="202" spans="1:3" ht="13" x14ac:dyDescent="0.15">
      <c r="A202" s="3"/>
      <c r="B202" s="3"/>
      <c r="C202" s="3"/>
    </row>
    <row r="203" spans="1:3" ht="13" x14ac:dyDescent="0.15">
      <c r="A203" s="3"/>
      <c r="B203" s="3"/>
      <c r="C203" s="3"/>
    </row>
    <row r="204" spans="1:3" ht="13" x14ac:dyDescent="0.15">
      <c r="A204" s="3"/>
      <c r="B204" s="3"/>
      <c r="C204" s="3"/>
    </row>
    <row r="205" spans="1:3" ht="13" x14ac:dyDescent="0.15">
      <c r="A205" s="3"/>
      <c r="B205" s="3"/>
      <c r="C205" s="3"/>
    </row>
    <row r="206" spans="1:3" ht="13" x14ac:dyDescent="0.15">
      <c r="A206" s="3"/>
      <c r="B206" s="3"/>
      <c r="C206" s="3"/>
    </row>
    <row r="207" spans="1:3" ht="13" x14ac:dyDescent="0.15">
      <c r="A207" s="3"/>
      <c r="B207" s="3"/>
      <c r="C207" s="3"/>
    </row>
    <row r="208" spans="1:3" ht="13" x14ac:dyDescent="0.15">
      <c r="A208" s="3"/>
      <c r="B208" s="3"/>
      <c r="C208" s="3"/>
    </row>
    <row r="209" spans="1:3" ht="13" x14ac:dyDescent="0.15">
      <c r="A209" s="3"/>
      <c r="B209" s="3"/>
      <c r="C209" s="3"/>
    </row>
    <row r="210" spans="1:3" ht="13" x14ac:dyDescent="0.15">
      <c r="A210" s="3"/>
      <c r="B210" s="3"/>
      <c r="C210" s="3"/>
    </row>
    <row r="211" spans="1:3" ht="13" x14ac:dyDescent="0.15">
      <c r="A211" s="3"/>
      <c r="B211" s="3"/>
      <c r="C211" s="3"/>
    </row>
    <row r="212" spans="1:3" ht="13" x14ac:dyDescent="0.15">
      <c r="A212" s="3"/>
      <c r="B212" s="3"/>
      <c r="C212" s="3"/>
    </row>
    <row r="213" spans="1:3" ht="13" x14ac:dyDescent="0.15">
      <c r="A213" s="3"/>
      <c r="B213" s="3"/>
      <c r="C213" s="3"/>
    </row>
    <row r="214" spans="1:3" ht="13" x14ac:dyDescent="0.15">
      <c r="A214" s="3"/>
      <c r="B214" s="3"/>
      <c r="C214" s="3"/>
    </row>
    <row r="215" spans="1:3" ht="13" x14ac:dyDescent="0.15">
      <c r="A215" s="3"/>
      <c r="B215" s="3"/>
      <c r="C215" s="3"/>
    </row>
    <row r="216" spans="1:3" ht="13" x14ac:dyDescent="0.15">
      <c r="A216" s="3"/>
      <c r="B216" s="3"/>
      <c r="C216" s="3"/>
    </row>
    <row r="217" spans="1:3" ht="13" x14ac:dyDescent="0.15">
      <c r="A217" s="3"/>
      <c r="B217" s="3"/>
      <c r="C217" s="3"/>
    </row>
    <row r="218" spans="1:3" ht="13" x14ac:dyDescent="0.15">
      <c r="A218" s="3"/>
      <c r="B218" s="3"/>
      <c r="C218" s="3"/>
    </row>
    <row r="219" spans="1:3" ht="13" x14ac:dyDescent="0.15">
      <c r="A219" s="3"/>
      <c r="B219" s="3"/>
      <c r="C219" s="3"/>
    </row>
    <row r="220" spans="1:3" ht="13" x14ac:dyDescent="0.15">
      <c r="A220" s="3"/>
      <c r="B220" s="3"/>
      <c r="C220" s="3"/>
    </row>
    <row r="221" spans="1:3" ht="13" x14ac:dyDescent="0.15">
      <c r="A221" s="3"/>
      <c r="B221" s="3"/>
      <c r="C221" s="3"/>
    </row>
    <row r="222" spans="1:3" ht="13" x14ac:dyDescent="0.15">
      <c r="A222" s="3"/>
      <c r="B222" s="3"/>
      <c r="C222" s="3"/>
    </row>
    <row r="223" spans="1:3" ht="13" x14ac:dyDescent="0.15">
      <c r="A223" s="3"/>
      <c r="B223" s="3"/>
      <c r="C223" s="3"/>
    </row>
    <row r="224" spans="1:3" ht="13" x14ac:dyDescent="0.15">
      <c r="A224" s="3"/>
      <c r="B224" s="3"/>
      <c r="C224" s="3"/>
    </row>
    <row r="225" spans="1:3" ht="13" x14ac:dyDescent="0.15">
      <c r="A225" s="3"/>
      <c r="B225" s="3"/>
      <c r="C225" s="3"/>
    </row>
    <row r="226" spans="1:3" ht="13" x14ac:dyDescent="0.15">
      <c r="A226" s="3"/>
      <c r="B226" s="3"/>
      <c r="C226" s="3"/>
    </row>
    <row r="227" spans="1:3" ht="13" x14ac:dyDescent="0.15">
      <c r="A227" s="3"/>
      <c r="B227" s="3"/>
      <c r="C227" s="3"/>
    </row>
    <row r="228" spans="1:3" ht="13" x14ac:dyDescent="0.15">
      <c r="A228" s="3"/>
      <c r="B228" s="3"/>
      <c r="C228" s="3"/>
    </row>
    <row r="229" spans="1:3" ht="13" x14ac:dyDescent="0.15">
      <c r="A229" s="3"/>
      <c r="B229" s="3"/>
      <c r="C229" s="3"/>
    </row>
    <row r="230" spans="1:3" ht="13" x14ac:dyDescent="0.15">
      <c r="A230" s="3"/>
      <c r="B230" s="3"/>
      <c r="C230" s="3"/>
    </row>
    <row r="231" spans="1:3" ht="13" x14ac:dyDescent="0.15">
      <c r="A231" s="3"/>
      <c r="B231" s="3"/>
      <c r="C231" s="3"/>
    </row>
    <row r="232" spans="1:3" ht="13" x14ac:dyDescent="0.15">
      <c r="A232" s="3"/>
      <c r="B232" s="3"/>
      <c r="C232" s="3"/>
    </row>
    <row r="233" spans="1:3" ht="13" x14ac:dyDescent="0.15">
      <c r="A233" s="3"/>
      <c r="B233" s="3"/>
      <c r="C233" s="3"/>
    </row>
    <row r="234" spans="1:3" ht="13" x14ac:dyDescent="0.15">
      <c r="A234" s="3"/>
      <c r="B234" s="3"/>
      <c r="C234" s="3"/>
    </row>
    <row r="235" spans="1:3" ht="13" x14ac:dyDescent="0.15">
      <c r="A235" s="3"/>
      <c r="B235" s="3"/>
      <c r="C235" s="3"/>
    </row>
    <row r="236" spans="1:3" ht="13" x14ac:dyDescent="0.15">
      <c r="A236" s="3"/>
      <c r="B236" s="3"/>
      <c r="C236" s="3"/>
    </row>
    <row r="237" spans="1:3" ht="13" x14ac:dyDescent="0.15">
      <c r="A237" s="3"/>
      <c r="B237" s="3"/>
      <c r="C237" s="3"/>
    </row>
    <row r="238" spans="1:3" ht="13" x14ac:dyDescent="0.15">
      <c r="A238" s="3"/>
      <c r="B238" s="3"/>
      <c r="C238" s="3"/>
    </row>
    <row r="239" spans="1:3" ht="13" x14ac:dyDescent="0.15">
      <c r="A239" s="3"/>
      <c r="B239" s="3"/>
      <c r="C239" s="3"/>
    </row>
    <row r="240" spans="1:3" ht="13" x14ac:dyDescent="0.15">
      <c r="A240" s="3"/>
      <c r="B240" s="3"/>
      <c r="C240" s="3"/>
    </row>
    <row r="241" spans="1:3" ht="13" x14ac:dyDescent="0.15">
      <c r="A241" s="3"/>
      <c r="B241" s="3"/>
      <c r="C241" s="3"/>
    </row>
    <row r="242" spans="1:3" ht="13" x14ac:dyDescent="0.15">
      <c r="A242" s="3"/>
      <c r="B242" s="3"/>
      <c r="C242" s="3"/>
    </row>
    <row r="243" spans="1:3" ht="13" x14ac:dyDescent="0.15">
      <c r="A243" s="3"/>
      <c r="B243" s="3"/>
      <c r="C243" s="3"/>
    </row>
    <row r="244" spans="1:3" ht="13" x14ac:dyDescent="0.15">
      <c r="A244" s="3"/>
      <c r="B244" s="3"/>
      <c r="C244" s="3"/>
    </row>
    <row r="245" spans="1:3" ht="13" x14ac:dyDescent="0.15">
      <c r="A245" s="3"/>
      <c r="B245" s="3"/>
      <c r="C245" s="3"/>
    </row>
    <row r="246" spans="1:3" ht="13" x14ac:dyDescent="0.15">
      <c r="A246" s="3"/>
      <c r="B246" s="3"/>
      <c r="C246" s="3"/>
    </row>
    <row r="247" spans="1:3" ht="13" x14ac:dyDescent="0.15">
      <c r="A247" s="3"/>
      <c r="B247" s="3"/>
      <c r="C247" s="3"/>
    </row>
    <row r="248" spans="1:3" ht="13" x14ac:dyDescent="0.15">
      <c r="A248" s="3"/>
      <c r="B248" s="3"/>
      <c r="C248" s="3"/>
    </row>
    <row r="249" spans="1:3" ht="13" x14ac:dyDescent="0.15">
      <c r="A249" s="3"/>
      <c r="B249" s="3"/>
      <c r="C249" s="3"/>
    </row>
    <row r="250" spans="1:3" ht="13" x14ac:dyDescent="0.15">
      <c r="A250" s="3"/>
      <c r="B250" s="3"/>
      <c r="C250" s="3"/>
    </row>
    <row r="251" spans="1:3" ht="13" x14ac:dyDescent="0.15">
      <c r="A251" s="3"/>
      <c r="B251" s="3"/>
      <c r="C251" s="3"/>
    </row>
    <row r="252" spans="1:3" ht="13" x14ac:dyDescent="0.15">
      <c r="A252" s="3"/>
      <c r="B252" s="3"/>
      <c r="C252" s="3"/>
    </row>
    <row r="253" spans="1:3" ht="13" x14ac:dyDescent="0.15">
      <c r="A253" s="3"/>
      <c r="B253" s="3"/>
      <c r="C253" s="3"/>
    </row>
    <row r="254" spans="1:3" ht="13" x14ac:dyDescent="0.15">
      <c r="A254" s="3"/>
      <c r="B254" s="3"/>
      <c r="C254" s="3"/>
    </row>
    <row r="255" spans="1:3" ht="13" x14ac:dyDescent="0.15">
      <c r="A255" s="3"/>
      <c r="B255" s="3"/>
      <c r="C255" s="3"/>
    </row>
    <row r="256" spans="1:3" ht="13" x14ac:dyDescent="0.15">
      <c r="A256" s="3"/>
      <c r="B256" s="3"/>
      <c r="C256" s="3"/>
    </row>
    <row r="257" spans="1:3" ht="13" x14ac:dyDescent="0.15">
      <c r="A257" s="3"/>
      <c r="B257" s="3"/>
      <c r="C257" s="3"/>
    </row>
    <row r="258" spans="1:3" ht="13" x14ac:dyDescent="0.15">
      <c r="A258" s="3"/>
      <c r="B258" s="3"/>
      <c r="C258" s="3"/>
    </row>
    <row r="259" spans="1:3" ht="13" x14ac:dyDescent="0.15">
      <c r="A259" s="3"/>
      <c r="B259" s="3"/>
      <c r="C259" s="3"/>
    </row>
    <row r="260" spans="1:3" ht="13" x14ac:dyDescent="0.15">
      <c r="A260" s="3"/>
      <c r="B260" s="3"/>
      <c r="C260" s="3"/>
    </row>
    <row r="261" spans="1:3" ht="13" x14ac:dyDescent="0.15">
      <c r="A261" s="3"/>
      <c r="B261" s="3"/>
      <c r="C261" s="3"/>
    </row>
    <row r="262" spans="1:3" ht="13" x14ac:dyDescent="0.15">
      <c r="A262" s="3"/>
      <c r="B262" s="3"/>
      <c r="C262" s="3"/>
    </row>
    <row r="263" spans="1:3" ht="13" x14ac:dyDescent="0.15">
      <c r="A263" s="3"/>
      <c r="B263" s="3"/>
      <c r="C263" s="3"/>
    </row>
    <row r="264" spans="1:3" ht="13" x14ac:dyDescent="0.15">
      <c r="A264" s="3"/>
      <c r="B264" s="3"/>
      <c r="C264" s="3"/>
    </row>
    <row r="265" spans="1:3" ht="13" x14ac:dyDescent="0.15">
      <c r="A265" s="3"/>
      <c r="B265" s="3"/>
      <c r="C265" s="3"/>
    </row>
    <row r="266" spans="1:3" ht="13" x14ac:dyDescent="0.15">
      <c r="A266" s="3"/>
      <c r="B266" s="3"/>
      <c r="C266" s="3"/>
    </row>
    <row r="267" spans="1:3" ht="13" x14ac:dyDescent="0.15">
      <c r="A267" s="3"/>
      <c r="B267" s="3"/>
      <c r="C267" s="3"/>
    </row>
    <row r="268" spans="1:3" ht="13" x14ac:dyDescent="0.15">
      <c r="A268" s="3"/>
      <c r="B268" s="3"/>
      <c r="C268" s="3"/>
    </row>
    <row r="269" spans="1:3" ht="13" x14ac:dyDescent="0.15">
      <c r="A269" s="3"/>
      <c r="B269" s="3"/>
      <c r="C269" s="3"/>
    </row>
    <row r="270" spans="1:3" ht="13" x14ac:dyDescent="0.15">
      <c r="A270" s="3"/>
      <c r="B270" s="3"/>
      <c r="C270" s="3"/>
    </row>
    <row r="271" spans="1:3" ht="13" x14ac:dyDescent="0.15">
      <c r="A271" s="3"/>
      <c r="B271" s="3"/>
      <c r="C271" s="3"/>
    </row>
    <row r="272" spans="1:3" ht="13" x14ac:dyDescent="0.15">
      <c r="A272" s="3"/>
      <c r="B272" s="3"/>
      <c r="C272" s="3"/>
    </row>
    <row r="273" spans="1:3" ht="13" x14ac:dyDescent="0.15">
      <c r="A273" s="3"/>
      <c r="B273" s="3"/>
      <c r="C273" s="3"/>
    </row>
    <row r="274" spans="1:3" ht="13" x14ac:dyDescent="0.15">
      <c r="A274" s="3"/>
      <c r="B274" s="3"/>
      <c r="C274" s="3"/>
    </row>
    <row r="275" spans="1:3" ht="13" x14ac:dyDescent="0.15">
      <c r="A275" s="3"/>
      <c r="B275" s="3"/>
      <c r="C275" s="3"/>
    </row>
    <row r="276" spans="1:3" ht="13" x14ac:dyDescent="0.15">
      <c r="A276" s="3"/>
      <c r="B276" s="3"/>
      <c r="C276" s="3"/>
    </row>
    <row r="277" spans="1:3" ht="13" x14ac:dyDescent="0.15">
      <c r="A277" s="3"/>
      <c r="B277" s="3"/>
      <c r="C277" s="3"/>
    </row>
    <row r="278" spans="1:3" ht="13" x14ac:dyDescent="0.15">
      <c r="A278" s="3"/>
      <c r="B278" s="3"/>
      <c r="C278" s="3"/>
    </row>
    <row r="279" spans="1:3" ht="13" x14ac:dyDescent="0.15">
      <c r="A279" s="3"/>
      <c r="B279" s="3"/>
      <c r="C279" s="3"/>
    </row>
    <row r="280" spans="1:3" ht="13" x14ac:dyDescent="0.15">
      <c r="A280" s="3"/>
      <c r="B280" s="3"/>
      <c r="C280" s="3"/>
    </row>
    <row r="281" spans="1:3" ht="13" x14ac:dyDescent="0.15">
      <c r="A281" s="3"/>
      <c r="B281" s="3"/>
      <c r="C281" s="3"/>
    </row>
    <row r="282" spans="1:3" ht="13" x14ac:dyDescent="0.15">
      <c r="A282" s="3"/>
      <c r="B282" s="3"/>
      <c r="C282" s="3"/>
    </row>
    <row r="283" spans="1:3" ht="13" x14ac:dyDescent="0.15">
      <c r="A283" s="3"/>
      <c r="B283" s="3"/>
      <c r="C283" s="3"/>
    </row>
    <row r="284" spans="1:3" ht="13" x14ac:dyDescent="0.15">
      <c r="A284" s="3"/>
      <c r="B284" s="3"/>
      <c r="C284" s="3"/>
    </row>
    <row r="285" spans="1:3" ht="13" x14ac:dyDescent="0.15">
      <c r="A285" s="3"/>
      <c r="B285" s="3"/>
      <c r="C285" s="3"/>
    </row>
    <row r="286" spans="1:3" ht="13" x14ac:dyDescent="0.15">
      <c r="A286" s="3"/>
      <c r="B286" s="3"/>
      <c r="C286" s="3"/>
    </row>
    <row r="287" spans="1:3" ht="13" x14ac:dyDescent="0.15">
      <c r="A287" s="3"/>
      <c r="B287" s="3"/>
      <c r="C287" s="3"/>
    </row>
    <row r="288" spans="1:3" ht="13" x14ac:dyDescent="0.15">
      <c r="A288" s="3"/>
      <c r="B288" s="3"/>
      <c r="C288" s="3"/>
    </row>
    <row r="289" spans="1:3" ht="13" x14ac:dyDescent="0.15">
      <c r="A289" s="3"/>
      <c r="B289" s="3"/>
      <c r="C289" s="3"/>
    </row>
    <row r="290" spans="1:3" ht="13" x14ac:dyDescent="0.15">
      <c r="A290" s="3"/>
      <c r="B290" s="3"/>
      <c r="C290" s="3"/>
    </row>
    <row r="291" spans="1:3" ht="13" x14ac:dyDescent="0.15">
      <c r="A291" s="3"/>
      <c r="B291" s="3"/>
      <c r="C291" s="3"/>
    </row>
    <row r="292" spans="1:3" ht="13" x14ac:dyDescent="0.15">
      <c r="A292" s="3"/>
      <c r="B292" s="3"/>
      <c r="C292" s="3"/>
    </row>
    <row r="293" spans="1:3" ht="13" x14ac:dyDescent="0.15">
      <c r="A293" s="3"/>
      <c r="B293" s="3"/>
      <c r="C293" s="3"/>
    </row>
    <row r="294" spans="1:3" ht="13" x14ac:dyDescent="0.15">
      <c r="A294" s="3"/>
      <c r="B294" s="3"/>
      <c r="C294" s="3"/>
    </row>
    <row r="295" spans="1:3" ht="13" x14ac:dyDescent="0.15">
      <c r="A295" s="3"/>
      <c r="B295" s="3"/>
      <c r="C295" s="3"/>
    </row>
    <row r="296" spans="1:3" ht="13" x14ac:dyDescent="0.15">
      <c r="A296" s="3"/>
      <c r="B296" s="3"/>
      <c r="C296" s="3"/>
    </row>
    <row r="297" spans="1:3" ht="13" x14ac:dyDescent="0.15">
      <c r="A297" s="3"/>
      <c r="B297" s="3"/>
      <c r="C297" s="3"/>
    </row>
    <row r="298" spans="1:3" ht="13" x14ac:dyDescent="0.15">
      <c r="A298" s="3"/>
      <c r="B298" s="3"/>
      <c r="C298" s="3"/>
    </row>
    <row r="299" spans="1:3" ht="13" x14ac:dyDescent="0.15">
      <c r="A299" s="3"/>
      <c r="B299" s="3"/>
      <c r="C299" s="3"/>
    </row>
    <row r="300" spans="1:3" ht="13" x14ac:dyDescent="0.15">
      <c r="A300" s="3"/>
      <c r="B300" s="3"/>
      <c r="C300" s="3"/>
    </row>
    <row r="301" spans="1:3" ht="13" x14ac:dyDescent="0.15">
      <c r="A301" s="3"/>
      <c r="B301" s="3"/>
      <c r="C301" s="3"/>
    </row>
    <row r="302" spans="1:3" ht="13" x14ac:dyDescent="0.15">
      <c r="A302" s="3"/>
      <c r="B302" s="3"/>
      <c r="C302" s="3"/>
    </row>
    <row r="303" spans="1:3" ht="13" x14ac:dyDescent="0.15">
      <c r="A303" s="3"/>
      <c r="B303" s="3"/>
      <c r="C303" s="3"/>
    </row>
    <row r="304" spans="1:3" ht="13" x14ac:dyDescent="0.15">
      <c r="A304" s="3"/>
      <c r="B304" s="3"/>
      <c r="C304" s="3"/>
    </row>
    <row r="305" spans="1:3" ht="13" x14ac:dyDescent="0.15">
      <c r="A305" s="3"/>
      <c r="B305" s="3"/>
      <c r="C305" s="3"/>
    </row>
    <row r="306" spans="1:3" ht="13" x14ac:dyDescent="0.15">
      <c r="A306" s="3"/>
      <c r="B306" s="3"/>
      <c r="C306" s="3"/>
    </row>
    <row r="307" spans="1:3" ht="13" x14ac:dyDescent="0.15">
      <c r="A307" s="3"/>
      <c r="B307" s="3"/>
      <c r="C307" s="3"/>
    </row>
    <row r="308" spans="1:3" ht="13" x14ac:dyDescent="0.15">
      <c r="A308" s="3"/>
      <c r="B308" s="3"/>
      <c r="C308" s="3"/>
    </row>
    <row r="309" spans="1:3" ht="13" x14ac:dyDescent="0.15">
      <c r="A309" s="3"/>
      <c r="B309" s="3"/>
      <c r="C309" s="3"/>
    </row>
    <row r="310" spans="1:3" ht="13" x14ac:dyDescent="0.15">
      <c r="A310" s="3"/>
      <c r="B310" s="3"/>
      <c r="C310" s="3"/>
    </row>
    <row r="311" spans="1:3" ht="13" x14ac:dyDescent="0.15">
      <c r="A311" s="3"/>
      <c r="B311" s="3"/>
      <c r="C311" s="3"/>
    </row>
    <row r="312" spans="1:3" ht="13" x14ac:dyDescent="0.15">
      <c r="A312" s="3"/>
      <c r="B312" s="3"/>
      <c r="C312" s="3"/>
    </row>
    <row r="313" spans="1:3" ht="13" x14ac:dyDescent="0.15">
      <c r="A313" s="3"/>
      <c r="B313" s="3"/>
      <c r="C313" s="3"/>
    </row>
    <row r="314" spans="1:3" ht="13" x14ac:dyDescent="0.15">
      <c r="A314" s="3"/>
      <c r="B314" s="3"/>
      <c r="C314" s="3"/>
    </row>
    <row r="315" spans="1:3" ht="13" x14ac:dyDescent="0.15">
      <c r="A315" s="3"/>
      <c r="B315" s="3"/>
      <c r="C315" s="3"/>
    </row>
    <row r="316" spans="1:3" ht="13" x14ac:dyDescent="0.15">
      <c r="A316" s="3"/>
      <c r="B316" s="3"/>
      <c r="C316" s="3"/>
    </row>
    <row r="317" spans="1:3" ht="13" x14ac:dyDescent="0.15">
      <c r="A317" s="3"/>
      <c r="B317" s="3"/>
      <c r="C317" s="3"/>
    </row>
    <row r="318" spans="1:3" ht="13" x14ac:dyDescent="0.15">
      <c r="A318" s="3"/>
      <c r="B318" s="3"/>
      <c r="C318" s="3"/>
    </row>
    <row r="319" spans="1:3" ht="13" x14ac:dyDescent="0.15">
      <c r="A319" s="3"/>
      <c r="B319" s="3"/>
      <c r="C319" s="3"/>
    </row>
    <row r="320" spans="1:3" ht="13" x14ac:dyDescent="0.15">
      <c r="A320" s="3"/>
      <c r="B320" s="3"/>
      <c r="C320" s="3"/>
    </row>
    <row r="321" spans="1:3" ht="13" x14ac:dyDescent="0.15">
      <c r="A321" s="3"/>
      <c r="B321" s="3"/>
      <c r="C321" s="3"/>
    </row>
    <row r="322" spans="1:3" ht="13" x14ac:dyDescent="0.15">
      <c r="A322" s="3"/>
      <c r="B322" s="3"/>
      <c r="C322" s="3"/>
    </row>
    <row r="323" spans="1:3" ht="13" x14ac:dyDescent="0.15">
      <c r="A323" s="3"/>
      <c r="B323" s="3"/>
      <c r="C323" s="3"/>
    </row>
    <row r="324" spans="1:3" ht="13" x14ac:dyDescent="0.15">
      <c r="A324" s="3"/>
      <c r="B324" s="3"/>
      <c r="C324" s="3"/>
    </row>
    <row r="325" spans="1:3" ht="13" x14ac:dyDescent="0.15">
      <c r="A325" s="3"/>
      <c r="B325" s="3"/>
      <c r="C325" s="3"/>
    </row>
    <row r="326" spans="1:3" ht="13" x14ac:dyDescent="0.15">
      <c r="A326" s="3"/>
      <c r="B326" s="3"/>
      <c r="C326" s="3"/>
    </row>
    <row r="327" spans="1:3" ht="13" x14ac:dyDescent="0.15">
      <c r="A327" s="3"/>
      <c r="B327" s="3"/>
      <c r="C327" s="3"/>
    </row>
    <row r="328" spans="1:3" ht="13" x14ac:dyDescent="0.15">
      <c r="A328" s="3"/>
      <c r="B328" s="3"/>
      <c r="C328" s="3"/>
    </row>
    <row r="329" spans="1:3" ht="13" x14ac:dyDescent="0.15">
      <c r="A329" s="3"/>
      <c r="B329" s="3"/>
      <c r="C329" s="3"/>
    </row>
    <row r="330" spans="1:3" ht="13" x14ac:dyDescent="0.15">
      <c r="A330" s="3"/>
      <c r="B330" s="3"/>
      <c r="C330" s="3"/>
    </row>
    <row r="331" spans="1:3" ht="13" x14ac:dyDescent="0.15">
      <c r="A331" s="3"/>
      <c r="B331" s="3"/>
      <c r="C331" s="3"/>
    </row>
    <row r="332" spans="1:3" ht="13" x14ac:dyDescent="0.15">
      <c r="A332" s="3"/>
      <c r="B332" s="3"/>
      <c r="C332" s="3"/>
    </row>
    <row r="333" spans="1:3" ht="13" x14ac:dyDescent="0.15">
      <c r="A333" s="3"/>
      <c r="B333" s="3"/>
      <c r="C333" s="3"/>
    </row>
    <row r="334" spans="1:3" ht="13" x14ac:dyDescent="0.15">
      <c r="A334" s="3"/>
      <c r="B334" s="3"/>
      <c r="C334" s="3"/>
    </row>
    <row r="335" spans="1:3" ht="13" x14ac:dyDescent="0.15">
      <c r="A335" s="3"/>
      <c r="B335" s="3"/>
      <c r="C335" s="3"/>
    </row>
    <row r="336" spans="1:3" ht="13" x14ac:dyDescent="0.15">
      <c r="A336" s="3"/>
      <c r="B336" s="3"/>
      <c r="C336" s="3"/>
    </row>
    <row r="337" spans="1:3" ht="13" x14ac:dyDescent="0.15">
      <c r="A337" s="3"/>
      <c r="B337" s="3"/>
      <c r="C337" s="3"/>
    </row>
    <row r="338" spans="1:3" ht="13" x14ac:dyDescent="0.15">
      <c r="A338" s="3"/>
      <c r="B338" s="3"/>
      <c r="C338" s="3"/>
    </row>
    <row r="339" spans="1:3" ht="13" x14ac:dyDescent="0.15">
      <c r="A339" s="3"/>
      <c r="B339" s="3"/>
      <c r="C339" s="3"/>
    </row>
    <row r="340" spans="1:3" ht="13" x14ac:dyDescent="0.15">
      <c r="A340" s="3"/>
      <c r="B340" s="3"/>
      <c r="C340" s="3"/>
    </row>
    <row r="341" spans="1:3" ht="13" x14ac:dyDescent="0.15">
      <c r="A341" s="3"/>
      <c r="B341" s="3"/>
      <c r="C341" s="3"/>
    </row>
    <row r="342" spans="1:3" ht="13" x14ac:dyDescent="0.15">
      <c r="A342" s="3"/>
      <c r="B342" s="3"/>
      <c r="C342" s="3"/>
    </row>
    <row r="343" spans="1:3" ht="13" x14ac:dyDescent="0.15">
      <c r="A343" s="3"/>
      <c r="B343" s="3"/>
      <c r="C343" s="3"/>
    </row>
    <row r="344" spans="1:3" ht="13" x14ac:dyDescent="0.15">
      <c r="A344" s="3"/>
      <c r="B344" s="3"/>
      <c r="C344" s="3"/>
    </row>
    <row r="345" spans="1:3" ht="13" x14ac:dyDescent="0.15">
      <c r="A345" s="3"/>
      <c r="B345" s="3"/>
      <c r="C345" s="3"/>
    </row>
    <row r="346" spans="1:3" ht="13" x14ac:dyDescent="0.15">
      <c r="A346" s="3"/>
      <c r="B346" s="3"/>
      <c r="C346" s="3"/>
    </row>
    <row r="347" spans="1:3" ht="13" x14ac:dyDescent="0.15">
      <c r="A347" s="3"/>
      <c r="B347" s="3"/>
      <c r="C347" s="3"/>
    </row>
    <row r="348" spans="1:3" ht="13" x14ac:dyDescent="0.15">
      <c r="A348" s="3"/>
      <c r="B348" s="3"/>
      <c r="C348" s="3"/>
    </row>
    <row r="349" spans="1:3" ht="13" x14ac:dyDescent="0.15">
      <c r="A349" s="3"/>
      <c r="B349" s="3"/>
      <c r="C349" s="3"/>
    </row>
    <row r="350" spans="1:3" ht="13" x14ac:dyDescent="0.15">
      <c r="A350" s="3"/>
      <c r="B350" s="3"/>
      <c r="C350" s="3"/>
    </row>
    <row r="351" spans="1:3" ht="13" x14ac:dyDescent="0.15">
      <c r="A351" s="3"/>
      <c r="B351" s="3"/>
      <c r="C351" s="3"/>
    </row>
    <row r="352" spans="1:3" ht="13" x14ac:dyDescent="0.15">
      <c r="A352" s="3"/>
      <c r="B352" s="3"/>
      <c r="C352" s="3"/>
    </row>
    <row r="353" spans="1:3" ht="13" x14ac:dyDescent="0.15">
      <c r="A353" s="3"/>
      <c r="B353" s="3"/>
      <c r="C353" s="3"/>
    </row>
    <row r="354" spans="1:3" ht="13" x14ac:dyDescent="0.15">
      <c r="A354" s="3"/>
      <c r="B354" s="3"/>
      <c r="C354" s="3"/>
    </row>
    <row r="355" spans="1:3" ht="13" x14ac:dyDescent="0.15">
      <c r="A355" s="3"/>
      <c r="B355" s="3"/>
      <c r="C355" s="3"/>
    </row>
    <row r="356" spans="1:3" ht="13" x14ac:dyDescent="0.15">
      <c r="A356" s="3"/>
      <c r="B356" s="3"/>
      <c r="C356" s="3"/>
    </row>
    <row r="357" spans="1:3" ht="13" x14ac:dyDescent="0.15">
      <c r="A357" s="3"/>
      <c r="B357" s="3"/>
      <c r="C357" s="3"/>
    </row>
    <row r="358" spans="1:3" ht="13" x14ac:dyDescent="0.15">
      <c r="A358" s="3"/>
      <c r="B358" s="3"/>
      <c r="C358" s="3"/>
    </row>
    <row r="359" spans="1:3" ht="13" x14ac:dyDescent="0.15">
      <c r="A359" s="3"/>
      <c r="B359" s="3"/>
      <c r="C359" s="3"/>
    </row>
    <row r="360" spans="1:3" ht="13" x14ac:dyDescent="0.15">
      <c r="A360" s="3"/>
      <c r="B360" s="3"/>
      <c r="C360" s="3"/>
    </row>
    <row r="361" spans="1:3" ht="13" x14ac:dyDescent="0.15">
      <c r="A361" s="3"/>
      <c r="B361" s="3"/>
      <c r="C361" s="3"/>
    </row>
    <row r="362" spans="1:3" ht="13" x14ac:dyDescent="0.15">
      <c r="A362" s="3"/>
      <c r="B362" s="3"/>
      <c r="C362" s="3"/>
    </row>
    <row r="363" spans="1:3" ht="13" x14ac:dyDescent="0.15">
      <c r="A363" s="3"/>
      <c r="B363" s="3"/>
      <c r="C363" s="3"/>
    </row>
    <row r="364" spans="1:3" ht="13" x14ac:dyDescent="0.15">
      <c r="A364" s="3"/>
      <c r="B364" s="3"/>
      <c r="C364" s="3"/>
    </row>
    <row r="365" spans="1:3" ht="13" x14ac:dyDescent="0.15">
      <c r="A365" s="3"/>
      <c r="B365" s="3"/>
      <c r="C365" s="3"/>
    </row>
    <row r="366" spans="1:3" ht="13" x14ac:dyDescent="0.15">
      <c r="A366" s="3"/>
      <c r="B366" s="3"/>
      <c r="C366" s="3"/>
    </row>
    <row r="367" spans="1:3" ht="13" x14ac:dyDescent="0.15">
      <c r="A367" s="3"/>
      <c r="B367" s="3"/>
      <c r="C367" s="3"/>
    </row>
    <row r="368" spans="1:3" ht="13" x14ac:dyDescent="0.15">
      <c r="A368" s="3"/>
      <c r="B368" s="3"/>
      <c r="C368" s="3"/>
    </row>
    <row r="369" spans="1:3" ht="13" x14ac:dyDescent="0.15">
      <c r="A369" s="3"/>
      <c r="B369" s="3"/>
      <c r="C369" s="3"/>
    </row>
    <row r="370" spans="1:3" ht="13" x14ac:dyDescent="0.15">
      <c r="A370" s="3"/>
      <c r="B370" s="3"/>
      <c r="C370" s="3"/>
    </row>
    <row r="371" spans="1:3" ht="13" x14ac:dyDescent="0.15">
      <c r="A371" s="3"/>
      <c r="B371" s="3"/>
      <c r="C371" s="3"/>
    </row>
    <row r="372" spans="1:3" ht="13" x14ac:dyDescent="0.15">
      <c r="A372" s="3"/>
      <c r="B372" s="3"/>
      <c r="C372" s="3"/>
    </row>
    <row r="373" spans="1:3" ht="13" x14ac:dyDescent="0.15">
      <c r="A373" s="3"/>
      <c r="B373" s="3"/>
      <c r="C373" s="3"/>
    </row>
    <row r="374" spans="1:3" ht="13" x14ac:dyDescent="0.15">
      <c r="A374" s="3"/>
      <c r="B374" s="3"/>
      <c r="C374" s="3"/>
    </row>
    <row r="375" spans="1:3" ht="13" x14ac:dyDescent="0.15">
      <c r="A375" s="3"/>
      <c r="B375" s="3"/>
      <c r="C375" s="3"/>
    </row>
    <row r="376" spans="1:3" ht="13" x14ac:dyDescent="0.15">
      <c r="A376" s="3"/>
      <c r="B376" s="3"/>
      <c r="C376" s="3"/>
    </row>
    <row r="377" spans="1:3" ht="13" x14ac:dyDescent="0.15">
      <c r="A377" s="3"/>
      <c r="B377" s="3"/>
      <c r="C377" s="3"/>
    </row>
    <row r="378" spans="1:3" ht="13" x14ac:dyDescent="0.15">
      <c r="A378" s="3"/>
      <c r="B378" s="3"/>
      <c r="C378" s="3"/>
    </row>
    <row r="379" spans="1:3" ht="13" x14ac:dyDescent="0.15">
      <c r="A379" s="3"/>
      <c r="B379" s="3"/>
      <c r="C379" s="3"/>
    </row>
    <row r="380" spans="1:3" ht="13" x14ac:dyDescent="0.15">
      <c r="A380" s="3"/>
      <c r="B380" s="3"/>
      <c r="C380" s="3"/>
    </row>
    <row r="381" spans="1:3" ht="13" x14ac:dyDescent="0.15">
      <c r="A381" s="3"/>
      <c r="B381" s="3"/>
      <c r="C381" s="3"/>
    </row>
    <row r="382" spans="1:3" ht="13" x14ac:dyDescent="0.15">
      <c r="A382" s="3"/>
      <c r="B382" s="3"/>
      <c r="C382" s="3"/>
    </row>
    <row r="383" spans="1:3" ht="13" x14ac:dyDescent="0.15">
      <c r="A383" s="3"/>
      <c r="B383" s="3"/>
      <c r="C383" s="3"/>
    </row>
    <row r="384" spans="1:3" ht="13" x14ac:dyDescent="0.15">
      <c r="A384" s="3"/>
      <c r="B384" s="3"/>
      <c r="C384" s="3"/>
    </row>
    <row r="385" spans="1:3" ht="13" x14ac:dyDescent="0.15">
      <c r="A385" s="3"/>
      <c r="B385" s="3"/>
      <c r="C385" s="3"/>
    </row>
    <row r="386" spans="1:3" ht="13" x14ac:dyDescent="0.15">
      <c r="A386" s="3"/>
      <c r="B386" s="3"/>
      <c r="C386" s="3"/>
    </row>
    <row r="387" spans="1:3" ht="13" x14ac:dyDescent="0.15">
      <c r="A387" s="3"/>
      <c r="B387" s="3"/>
      <c r="C387" s="3"/>
    </row>
    <row r="388" spans="1:3" ht="13" x14ac:dyDescent="0.15">
      <c r="A388" s="3"/>
      <c r="B388" s="3"/>
      <c r="C388" s="3"/>
    </row>
    <row r="389" spans="1:3" ht="13" x14ac:dyDescent="0.15">
      <c r="A389" s="3"/>
      <c r="B389" s="3"/>
      <c r="C389" s="3"/>
    </row>
    <row r="390" spans="1:3" ht="13" x14ac:dyDescent="0.15">
      <c r="A390" s="3"/>
      <c r="B390" s="3"/>
      <c r="C390" s="3"/>
    </row>
    <row r="391" spans="1:3" ht="13" x14ac:dyDescent="0.15">
      <c r="A391" s="3"/>
      <c r="B391" s="3"/>
      <c r="C391" s="3"/>
    </row>
    <row r="392" spans="1:3" ht="13" x14ac:dyDescent="0.15">
      <c r="A392" s="3"/>
      <c r="B392" s="3"/>
      <c r="C392" s="3"/>
    </row>
    <row r="393" spans="1:3" ht="13" x14ac:dyDescent="0.15">
      <c r="A393" s="3"/>
      <c r="B393" s="3"/>
      <c r="C393" s="3"/>
    </row>
    <row r="394" spans="1:3" ht="13" x14ac:dyDescent="0.15">
      <c r="A394" s="3"/>
      <c r="B394" s="3"/>
      <c r="C394" s="3"/>
    </row>
    <row r="395" spans="1:3" ht="13" x14ac:dyDescent="0.15">
      <c r="A395" s="3"/>
      <c r="B395" s="3"/>
      <c r="C395" s="3"/>
    </row>
    <row r="396" spans="1:3" ht="13" x14ac:dyDescent="0.15">
      <c r="A396" s="3"/>
      <c r="B396" s="3"/>
      <c r="C396" s="3"/>
    </row>
    <row r="397" spans="1:3" ht="13" x14ac:dyDescent="0.15">
      <c r="A397" s="3"/>
      <c r="B397" s="3"/>
      <c r="C397" s="3"/>
    </row>
    <row r="398" spans="1:3" ht="13" x14ac:dyDescent="0.15">
      <c r="A398" s="3"/>
      <c r="B398" s="3"/>
      <c r="C398" s="3"/>
    </row>
    <row r="399" spans="1:3" ht="13" x14ac:dyDescent="0.15">
      <c r="A399" s="3"/>
      <c r="B399" s="3"/>
      <c r="C399" s="3"/>
    </row>
    <row r="400" spans="1:3" ht="13" x14ac:dyDescent="0.15">
      <c r="A400" s="3"/>
      <c r="B400" s="3"/>
      <c r="C400" s="3"/>
    </row>
    <row r="401" spans="1:3" ht="13" x14ac:dyDescent="0.15">
      <c r="A401" s="3"/>
      <c r="B401" s="3"/>
      <c r="C401" s="3"/>
    </row>
    <row r="402" spans="1:3" ht="13" x14ac:dyDescent="0.15">
      <c r="A402" s="3"/>
      <c r="B402" s="3"/>
      <c r="C402" s="3"/>
    </row>
    <row r="403" spans="1:3" ht="13" x14ac:dyDescent="0.15">
      <c r="A403" s="3"/>
      <c r="B403" s="3"/>
      <c r="C403" s="3"/>
    </row>
    <row r="404" spans="1:3" ht="13" x14ac:dyDescent="0.15">
      <c r="A404" s="3"/>
      <c r="B404" s="3"/>
      <c r="C404" s="3"/>
    </row>
    <row r="405" spans="1:3" ht="13" x14ac:dyDescent="0.15">
      <c r="A405" s="3"/>
      <c r="B405" s="3"/>
      <c r="C405" s="3"/>
    </row>
    <row r="406" spans="1:3" ht="13" x14ac:dyDescent="0.15">
      <c r="A406" s="3"/>
      <c r="B406" s="3"/>
      <c r="C406" s="3"/>
    </row>
    <row r="407" spans="1:3" ht="13" x14ac:dyDescent="0.15">
      <c r="A407" s="3"/>
      <c r="B407" s="3"/>
      <c r="C407" s="3"/>
    </row>
    <row r="408" spans="1:3" ht="13" x14ac:dyDescent="0.15">
      <c r="A408" s="3"/>
      <c r="B408" s="3"/>
      <c r="C408" s="3"/>
    </row>
    <row r="409" spans="1:3" ht="13" x14ac:dyDescent="0.15">
      <c r="A409" s="3"/>
      <c r="B409" s="3"/>
      <c r="C409" s="3"/>
    </row>
    <row r="410" spans="1:3" ht="13" x14ac:dyDescent="0.15">
      <c r="A410" s="3"/>
      <c r="B410" s="3"/>
      <c r="C410" s="3"/>
    </row>
    <row r="411" spans="1:3" ht="13" x14ac:dyDescent="0.15">
      <c r="A411" s="3"/>
      <c r="B411" s="3"/>
      <c r="C411" s="3"/>
    </row>
    <row r="412" spans="1:3" ht="13" x14ac:dyDescent="0.15">
      <c r="A412" s="3"/>
      <c r="B412" s="3"/>
      <c r="C412" s="3"/>
    </row>
    <row r="413" spans="1:3" ht="13" x14ac:dyDescent="0.15">
      <c r="A413" s="3"/>
      <c r="B413" s="3"/>
      <c r="C413" s="3"/>
    </row>
    <row r="414" spans="1:3" ht="13" x14ac:dyDescent="0.15">
      <c r="A414" s="3"/>
      <c r="B414" s="3"/>
      <c r="C414" s="3"/>
    </row>
    <row r="415" spans="1:3" ht="13" x14ac:dyDescent="0.15">
      <c r="A415" s="3"/>
      <c r="B415" s="3"/>
      <c r="C415" s="3"/>
    </row>
    <row r="416" spans="1:3" ht="13" x14ac:dyDescent="0.15">
      <c r="A416" s="3"/>
      <c r="B416" s="3"/>
      <c r="C416" s="3"/>
    </row>
    <row r="417" spans="1:3" ht="13" x14ac:dyDescent="0.15">
      <c r="A417" s="3"/>
      <c r="B417" s="3"/>
      <c r="C417" s="3"/>
    </row>
    <row r="418" spans="1:3" ht="13" x14ac:dyDescent="0.15">
      <c r="A418" s="3"/>
      <c r="B418" s="3"/>
      <c r="C418" s="3"/>
    </row>
    <row r="419" spans="1:3" ht="13" x14ac:dyDescent="0.15">
      <c r="A419" s="3"/>
      <c r="B419" s="3"/>
      <c r="C419" s="3"/>
    </row>
    <row r="420" spans="1:3" ht="13" x14ac:dyDescent="0.15">
      <c r="A420" s="3"/>
      <c r="B420" s="3"/>
      <c r="C420" s="3"/>
    </row>
    <row r="421" spans="1:3" ht="13" x14ac:dyDescent="0.15">
      <c r="A421" s="3"/>
      <c r="B421" s="3"/>
      <c r="C421" s="3"/>
    </row>
    <row r="422" spans="1:3" ht="13" x14ac:dyDescent="0.15">
      <c r="A422" s="3"/>
      <c r="B422" s="3"/>
      <c r="C422" s="3"/>
    </row>
    <row r="423" spans="1:3" ht="13" x14ac:dyDescent="0.15">
      <c r="A423" s="3"/>
      <c r="B423" s="3"/>
      <c r="C423" s="3"/>
    </row>
    <row r="424" spans="1:3" ht="13" x14ac:dyDescent="0.15">
      <c r="A424" s="3"/>
      <c r="B424" s="3"/>
      <c r="C424" s="3"/>
    </row>
    <row r="425" spans="1:3" ht="13" x14ac:dyDescent="0.15">
      <c r="A425" s="3"/>
      <c r="B425" s="3"/>
      <c r="C425" s="3"/>
    </row>
    <row r="426" spans="1:3" ht="13" x14ac:dyDescent="0.15">
      <c r="A426" s="3"/>
      <c r="B426" s="3"/>
      <c r="C426" s="3"/>
    </row>
    <row r="427" spans="1:3" ht="13" x14ac:dyDescent="0.15">
      <c r="A427" s="3"/>
      <c r="B427" s="3"/>
      <c r="C427" s="3"/>
    </row>
    <row r="428" spans="1:3" ht="13" x14ac:dyDescent="0.15">
      <c r="A428" s="3"/>
      <c r="B428" s="3"/>
      <c r="C428" s="3"/>
    </row>
    <row r="429" spans="1:3" ht="13" x14ac:dyDescent="0.15">
      <c r="A429" s="3"/>
      <c r="B429" s="3"/>
      <c r="C429" s="3"/>
    </row>
    <row r="430" spans="1:3" ht="13" x14ac:dyDescent="0.15">
      <c r="A430" s="3"/>
      <c r="B430" s="3"/>
      <c r="C430" s="3"/>
    </row>
    <row r="431" spans="1:3" ht="13" x14ac:dyDescent="0.15">
      <c r="A431" s="3"/>
      <c r="B431" s="3"/>
      <c r="C431" s="3"/>
    </row>
    <row r="432" spans="1:3" ht="13" x14ac:dyDescent="0.15">
      <c r="A432" s="3"/>
      <c r="B432" s="3"/>
      <c r="C432" s="3"/>
    </row>
    <row r="433" spans="1:3" ht="13" x14ac:dyDescent="0.15">
      <c r="A433" s="3"/>
      <c r="B433" s="3"/>
      <c r="C433" s="3"/>
    </row>
    <row r="434" spans="1:3" ht="13" x14ac:dyDescent="0.15">
      <c r="A434" s="3"/>
      <c r="B434" s="3"/>
      <c r="C434" s="3"/>
    </row>
    <row r="435" spans="1:3" ht="13" x14ac:dyDescent="0.15">
      <c r="A435" s="3"/>
      <c r="B435" s="3"/>
      <c r="C435" s="3"/>
    </row>
    <row r="436" spans="1:3" ht="13" x14ac:dyDescent="0.15">
      <c r="A436" s="3"/>
      <c r="B436" s="3"/>
      <c r="C436" s="3"/>
    </row>
    <row r="437" spans="1:3" ht="13" x14ac:dyDescent="0.15">
      <c r="A437" s="3"/>
      <c r="B437" s="3"/>
      <c r="C437" s="3"/>
    </row>
    <row r="438" spans="1:3" ht="13" x14ac:dyDescent="0.15">
      <c r="A438" s="3"/>
      <c r="B438" s="3"/>
      <c r="C438" s="3"/>
    </row>
    <row r="439" spans="1:3" ht="13" x14ac:dyDescent="0.15">
      <c r="A439" s="3"/>
      <c r="B439" s="3"/>
      <c r="C439" s="3"/>
    </row>
    <row r="440" spans="1:3" ht="13" x14ac:dyDescent="0.15">
      <c r="A440" s="3"/>
      <c r="B440" s="3"/>
      <c r="C440" s="3"/>
    </row>
    <row r="441" spans="1:3" ht="13" x14ac:dyDescent="0.15">
      <c r="A441" s="3"/>
      <c r="B441" s="3"/>
      <c r="C441" s="3"/>
    </row>
    <row r="442" spans="1:3" ht="13" x14ac:dyDescent="0.15">
      <c r="A442" s="3"/>
      <c r="B442" s="3"/>
      <c r="C442" s="3"/>
    </row>
    <row r="443" spans="1:3" ht="13" x14ac:dyDescent="0.15">
      <c r="A443" s="3"/>
      <c r="B443" s="3"/>
      <c r="C443" s="3"/>
    </row>
    <row r="444" spans="1:3" ht="13" x14ac:dyDescent="0.15">
      <c r="A444" s="3"/>
      <c r="B444" s="3"/>
      <c r="C444" s="3"/>
    </row>
    <row r="445" spans="1:3" ht="13" x14ac:dyDescent="0.15">
      <c r="A445" s="3"/>
      <c r="B445" s="3"/>
      <c r="C445" s="3"/>
    </row>
    <row r="446" spans="1:3" ht="13" x14ac:dyDescent="0.15">
      <c r="A446" s="3"/>
      <c r="B446" s="3"/>
      <c r="C446" s="3"/>
    </row>
    <row r="447" spans="1:3" ht="13" x14ac:dyDescent="0.15">
      <c r="A447" s="3"/>
      <c r="B447" s="3"/>
      <c r="C447" s="3"/>
    </row>
    <row r="448" spans="1:3" ht="13" x14ac:dyDescent="0.15">
      <c r="A448" s="3"/>
      <c r="B448" s="3"/>
      <c r="C448" s="3"/>
    </row>
    <row r="449" spans="1:3" ht="13" x14ac:dyDescent="0.15">
      <c r="A449" s="3"/>
      <c r="B449" s="3"/>
      <c r="C449" s="3"/>
    </row>
    <row r="450" spans="1:3" ht="13" x14ac:dyDescent="0.15">
      <c r="A450" s="3"/>
      <c r="B450" s="3"/>
      <c r="C450" s="3"/>
    </row>
    <row r="451" spans="1:3" ht="13" x14ac:dyDescent="0.15">
      <c r="A451" s="3"/>
      <c r="B451" s="3"/>
      <c r="C451" s="3"/>
    </row>
    <row r="452" spans="1:3" ht="13" x14ac:dyDescent="0.15">
      <c r="A452" s="3"/>
      <c r="B452" s="3"/>
      <c r="C452" s="3"/>
    </row>
    <row r="453" spans="1:3" ht="13" x14ac:dyDescent="0.15">
      <c r="A453" s="3"/>
      <c r="B453" s="3"/>
      <c r="C453" s="3"/>
    </row>
    <row r="454" spans="1:3" ht="13" x14ac:dyDescent="0.15">
      <c r="A454" s="3"/>
      <c r="B454" s="3"/>
      <c r="C454" s="3"/>
    </row>
    <row r="455" spans="1:3" ht="13" x14ac:dyDescent="0.15">
      <c r="A455" s="3"/>
      <c r="B455" s="3"/>
      <c r="C455" s="3"/>
    </row>
    <row r="456" spans="1:3" ht="13" x14ac:dyDescent="0.15">
      <c r="A456" s="3"/>
      <c r="B456" s="3"/>
      <c r="C456" s="3"/>
    </row>
    <row r="457" spans="1:3" ht="13" x14ac:dyDescent="0.15">
      <c r="A457" s="3"/>
      <c r="B457" s="3"/>
      <c r="C457" s="3"/>
    </row>
    <row r="458" spans="1:3" ht="13" x14ac:dyDescent="0.15">
      <c r="A458" s="3"/>
      <c r="B458" s="3"/>
      <c r="C458" s="3"/>
    </row>
    <row r="459" spans="1:3" ht="13" x14ac:dyDescent="0.15">
      <c r="A459" s="3"/>
      <c r="B459" s="3"/>
      <c r="C459" s="3"/>
    </row>
    <row r="460" spans="1:3" ht="13" x14ac:dyDescent="0.15">
      <c r="A460" s="3"/>
      <c r="B460" s="3"/>
      <c r="C460" s="3"/>
    </row>
    <row r="461" spans="1:3" ht="13" x14ac:dyDescent="0.15">
      <c r="A461" s="3"/>
      <c r="B461" s="3"/>
      <c r="C461" s="3"/>
    </row>
    <row r="462" spans="1:3" ht="13" x14ac:dyDescent="0.15">
      <c r="A462" s="3"/>
      <c r="B462" s="3"/>
      <c r="C462" s="3"/>
    </row>
    <row r="463" spans="1:3" ht="13" x14ac:dyDescent="0.15">
      <c r="A463" s="3"/>
      <c r="B463" s="3"/>
      <c r="C463" s="3"/>
    </row>
    <row r="464" spans="1:3" ht="13" x14ac:dyDescent="0.15">
      <c r="A464" s="3"/>
      <c r="B464" s="3"/>
      <c r="C464" s="3"/>
    </row>
    <row r="465" spans="1:3" ht="13" x14ac:dyDescent="0.15">
      <c r="A465" s="3"/>
      <c r="B465" s="3"/>
      <c r="C465" s="3"/>
    </row>
    <row r="466" spans="1:3" ht="13" x14ac:dyDescent="0.15">
      <c r="A466" s="3"/>
      <c r="B466" s="3"/>
      <c r="C466" s="3"/>
    </row>
    <row r="467" spans="1:3" ht="13" x14ac:dyDescent="0.15">
      <c r="A467" s="3"/>
      <c r="B467" s="3"/>
      <c r="C467" s="3"/>
    </row>
    <row r="468" spans="1:3" ht="13" x14ac:dyDescent="0.15">
      <c r="A468" s="3"/>
      <c r="B468" s="3"/>
      <c r="C468" s="3"/>
    </row>
    <row r="469" spans="1:3" ht="13" x14ac:dyDescent="0.15">
      <c r="A469" s="3"/>
      <c r="B469" s="3"/>
      <c r="C469" s="3"/>
    </row>
    <row r="470" spans="1:3" ht="13" x14ac:dyDescent="0.15">
      <c r="A470" s="3"/>
      <c r="B470" s="3"/>
      <c r="C470" s="3"/>
    </row>
    <row r="471" spans="1:3" ht="13" x14ac:dyDescent="0.15">
      <c r="A471" s="3"/>
      <c r="B471" s="3"/>
      <c r="C471" s="3"/>
    </row>
    <row r="472" spans="1:3" ht="13" x14ac:dyDescent="0.15">
      <c r="A472" s="3"/>
      <c r="B472" s="3"/>
      <c r="C472" s="3"/>
    </row>
    <row r="473" spans="1:3" ht="13" x14ac:dyDescent="0.15">
      <c r="A473" s="3"/>
      <c r="B473" s="3"/>
      <c r="C473" s="3"/>
    </row>
    <row r="474" spans="1:3" ht="13" x14ac:dyDescent="0.15">
      <c r="A474" s="3"/>
      <c r="B474" s="3"/>
      <c r="C474" s="3"/>
    </row>
    <row r="475" spans="1:3" ht="13" x14ac:dyDescent="0.15">
      <c r="A475" s="3"/>
      <c r="B475" s="3"/>
      <c r="C475" s="3"/>
    </row>
    <row r="476" spans="1:3" ht="13" x14ac:dyDescent="0.15">
      <c r="A476" s="3"/>
      <c r="B476" s="3"/>
      <c r="C476" s="3"/>
    </row>
    <row r="477" spans="1:3" ht="13" x14ac:dyDescent="0.15">
      <c r="A477" s="3"/>
      <c r="B477" s="3"/>
      <c r="C477" s="3"/>
    </row>
    <row r="478" spans="1:3" ht="13" x14ac:dyDescent="0.15">
      <c r="A478" s="3"/>
      <c r="B478" s="3"/>
      <c r="C478" s="3"/>
    </row>
    <row r="479" spans="1:3" ht="13" x14ac:dyDescent="0.15">
      <c r="A479" s="3"/>
      <c r="B479" s="3"/>
      <c r="C479" s="3"/>
    </row>
    <row r="480" spans="1:3" ht="13" x14ac:dyDescent="0.15">
      <c r="A480" s="3"/>
      <c r="B480" s="3"/>
      <c r="C480" s="3"/>
    </row>
    <row r="481" spans="1:3" ht="13" x14ac:dyDescent="0.15">
      <c r="A481" s="3"/>
      <c r="B481" s="3"/>
      <c r="C481" s="3"/>
    </row>
    <row r="482" spans="1:3" ht="13" x14ac:dyDescent="0.15">
      <c r="A482" s="3"/>
      <c r="B482" s="3"/>
      <c r="C482" s="3"/>
    </row>
    <row r="483" spans="1:3" ht="13" x14ac:dyDescent="0.15">
      <c r="A483" s="3"/>
      <c r="B483" s="3"/>
      <c r="C483" s="3"/>
    </row>
    <row r="484" spans="1:3" ht="13" x14ac:dyDescent="0.15">
      <c r="A484" s="3"/>
      <c r="B484" s="3"/>
      <c r="C484" s="3"/>
    </row>
    <row r="485" spans="1:3" ht="13" x14ac:dyDescent="0.15">
      <c r="A485" s="3"/>
      <c r="B485" s="3"/>
      <c r="C485" s="3"/>
    </row>
    <row r="486" spans="1:3" ht="13" x14ac:dyDescent="0.15">
      <c r="A486" s="3"/>
      <c r="B486" s="3"/>
      <c r="C486" s="3"/>
    </row>
    <row r="487" spans="1:3" ht="13" x14ac:dyDescent="0.15">
      <c r="A487" s="3"/>
      <c r="B487" s="3"/>
      <c r="C487" s="3"/>
    </row>
    <row r="488" spans="1:3" ht="13" x14ac:dyDescent="0.15">
      <c r="A488" s="3"/>
      <c r="B488" s="3"/>
      <c r="C488" s="3"/>
    </row>
    <row r="489" spans="1:3" ht="13" x14ac:dyDescent="0.15">
      <c r="A489" s="3"/>
      <c r="B489" s="3"/>
      <c r="C489" s="3"/>
    </row>
    <row r="490" spans="1:3" ht="13" x14ac:dyDescent="0.15">
      <c r="A490" s="3"/>
      <c r="B490" s="3"/>
      <c r="C490" s="3"/>
    </row>
    <row r="491" spans="1:3" ht="13" x14ac:dyDescent="0.15">
      <c r="A491" s="3"/>
      <c r="B491" s="3"/>
      <c r="C491" s="3"/>
    </row>
    <row r="492" spans="1:3" ht="13" x14ac:dyDescent="0.15">
      <c r="A492" s="3"/>
      <c r="B492" s="3"/>
      <c r="C492" s="3"/>
    </row>
    <row r="493" spans="1:3" ht="13" x14ac:dyDescent="0.15">
      <c r="A493" s="3"/>
      <c r="B493" s="3"/>
      <c r="C493" s="3"/>
    </row>
    <row r="494" spans="1:3" ht="13" x14ac:dyDescent="0.15">
      <c r="A494" s="3"/>
      <c r="B494" s="3"/>
      <c r="C494" s="3"/>
    </row>
    <row r="495" spans="1:3" ht="13" x14ac:dyDescent="0.15">
      <c r="A495" s="3"/>
      <c r="B495" s="3"/>
      <c r="C495" s="3"/>
    </row>
    <row r="496" spans="1:3" ht="13" x14ac:dyDescent="0.15">
      <c r="A496" s="3"/>
      <c r="B496" s="3"/>
      <c r="C496" s="3"/>
    </row>
    <row r="497" spans="1:3" ht="13" x14ac:dyDescent="0.15">
      <c r="A497" s="3"/>
      <c r="B497" s="3"/>
      <c r="C497" s="3"/>
    </row>
    <row r="498" spans="1:3" ht="13" x14ac:dyDescent="0.15">
      <c r="A498" s="3"/>
      <c r="B498" s="3"/>
      <c r="C498" s="3"/>
    </row>
    <row r="499" spans="1:3" ht="13" x14ac:dyDescent="0.15">
      <c r="A499" s="3"/>
      <c r="B499" s="3"/>
      <c r="C499" s="3"/>
    </row>
    <row r="500" spans="1:3" ht="13" x14ac:dyDescent="0.15">
      <c r="A500" s="3"/>
      <c r="B500" s="3"/>
      <c r="C500" s="3"/>
    </row>
    <row r="501" spans="1:3" ht="13" x14ac:dyDescent="0.15">
      <c r="A501" s="3"/>
      <c r="B501" s="3"/>
      <c r="C501" s="3"/>
    </row>
    <row r="502" spans="1:3" ht="13" x14ac:dyDescent="0.15">
      <c r="A502" s="3"/>
      <c r="B502" s="3"/>
      <c r="C502" s="3"/>
    </row>
    <row r="503" spans="1:3" ht="13" x14ac:dyDescent="0.15">
      <c r="A503" s="3"/>
      <c r="B503" s="3"/>
      <c r="C503" s="3"/>
    </row>
    <row r="504" spans="1:3" ht="13" x14ac:dyDescent="0.15">
      <c r="A504" s="3"/>
      <c r="B504" s="3"/>
      <c r="C504" s="3"/>
    </row>
    <row r="505" spans="1:3" ht="13" x14ac:dyDescent="0.15">
      <c r="A505" s="3"/>
      <c r="B505" s="3"/>
      <c r="C505" s="3"/>
    </row>
    <row r="506" spans="1:3" ht="13" x14ac:dyDescent="0.15">
      <c r="A506" s="3"/>
      <c r="B506" s="3"/>
      <c r="C506" s="3"/>
    </row>
    <row r="507" spans="1:3" ht="13" x14ac:dyDescent="0.15">
      <c r="A507" s="3"/>
      <c r="B507" s="3"/>
      <c r="C507" s="3"/>
    </row>
    <row r="508" spans="1:3" ht="13" x14ac:dyDescent="0.15">
      <c r="A508" s="3"/>
      <c r="B508" s="3"/>
      <c r="C508" s="3"/>
    </row>
    <row r="509" spans="1:3" ht="13" x14ac:dyDescent="0.15">
      <c r="A509" s="3"/>
      <c r="B509" s="3"/>
      <c r="C509" s="3"/>
    </row>
    <row r="510" spans="1:3" ht="13" x14ac:dyDescent="0.15">
      <c r="A510" s="3"/>
      <c r="B510" s="3"/>
      <c r="C510" s="3"/>
    </row>
    <row r="511" spans="1:3" ht="13" x14ac:dyDescent="0.15">
      <c r="A511" s="3"/>
      <c r="B511" s="3"/>
      <c r="C511" s="3"/>
    </row>
    <row r="512" spans="1:3" ht="13" x14ac:dyDescent="0.15">
      <c r="A512" s="3"/>
      <c r="B512" s="3"/>
      <c r="C512" s="3"/>
    </row>
    <row r="513" spans="1:3" ht="13" x14ac:dyDescent="0.15">
      <c r="A513" s="3"/>
      <c r="B513" s="3"/>
      <c r="C513" s="3"/>
    </row>
    <row r="514" spans="1:3" ht="13" x14ac:dyDescent="0.15">
      <c r="A514" s="3"/>
      <c r="B514" s="3"/>
      <c r="C514" s="3"/>
    </row>
    <row r="515" spans="1:3" ht="13" x14ac:dyDescent="0.15">
      <c r="A515" s="3"/>
      <c r="B515" s="3"/>
      <c r="C515" s="3"/>
    </row>
    <row r="516" spans="1:3" ht="13" x14ac:dyDescent="0.15">
      <c r="A516" s="3"/>
      <c r="B516" s="3"/>
      <c r="C516" s="3"/>
    </row>
    <row r="517" spans="1:3" ht="13" x14ac:dyDescent="0.15">
      <c r="A517" s="3"/>
      <c r="B517" s="3"/>
      <c r="C517" s="3"/>
    </row>
    <row r="518" spans="1:3" ht="13" x14ac:dyDescent="0.15">
      <c r="A518" s="3"/>
      <c r="B518" s="3"/>
      <c r="C518" s="3"/>
    </row>
    <row r="519" spans="1:3" ht="13" x14ac:dyDescent="0.15">
      <c r="A519" s="3"/>
      <c r="B519" s="3"/>
      <c r="C519" s="3"/>
    </row>
    <row r="520" spans="1:3" ht="13" x14ac:dyDescent="0.15">
      <c r="A520" s="3"/>
      <c r="B520" s="3"/>
      <c r="C520" s="3"/>
    </row>
    <row r="521" spans="1:3" ht="13" x14ac:dyDescent="0.15">
      <c r="A521" s="3"/>
      <c r="B521" s="3"/>
      <c r="C521" s="3"/>
    </row>
    <row r="522" spans="1:3" ht="13" x14ac:dyDescent="0.15">
      <c r="A522" s="3"/>
      <c r="B522" s="3"/>
      <c r="C522" s="3"/>
    </row>
    <row r="523" spans="1:3" ht="13" x14ac:dyDescent="0.15">
      <c r="A523" s="3"/>
      <c r="B523" s="3"/>
      <c r="C523" s="3"/>
    </row>
    <row r="524" spans="1:3" ht="13" x14ac:dyDescent="0.15">
      <c r="A524" s="3"/>
      <c r="B524" s="3"/>
      <c r="C524" s="3"/>
    </row>
    <row r="525" spans="1:3" ht="13" x14ac:dyDescent="0.15">
      <c r="A525" s="3"/>
      <c r="B525" s="3"/>
      <c r="C525" s="3"/>
    </row>
    <row r="526" spans="1:3" ht="13" x14ac:dyDescent="0.15">
      <c r="A526" s="3"/>
      <c r="B526" s="3"/>
      <c r="C526" s="3"/>
    </row>
    <row r="527" spans="1:3" ht="13" x14ac:dyDescent="0.15">
      <c r="A527" s="3"/>
      <c r="B527" s="3"/>
      <c r="C527" s="3"/>
    </row>
    <row r="528" spans="1:3" ht="13" x14ac:dyDescent="0.15">
      <c r="A528" s="3"/>
      <c r="B528" s="3"/>
      <c r="C528" s="3"/>
    </row>
    <row r="529" spans="1:3" ht="13" x14ac:dyDescent="0.15">
      <c r="A529" s="3"/>
      <c r="B529" s="3"/>
      <c r="C529" s="3"/>
    </row>
    <row r="530" spans="1:3" ht="13" x14ac:dyDescent="0.15">
      <c r="A530" s="3"/>
      <c r="B530" s="3"/>
      <c r="C530" s="3"/>
    </row>
    <row r="531" spans="1:3" ht="13" x14ac:dyDescent="0.15">
      <c r="A531" s="3"/>
      <c r="B531" s="3"/>
      <c r="C531" s="3"/>
    </row>
    <row r="532" spans="1:3" ht="13" x14ac:dyDescent="0.15">
      <c r="A532" s="3"/>
      <c r="B532" s="3"/>
      <c r="C532" s="3"/>
    </row>
    <row r="533" spans="1:3" ht="13" x14ac:dyDescent="0.15">
      <c r="A533" s="3"/>
      <c r="B533" s="3"/>
      <c r="C533" s="3"/>
    </row>
    <row r="534" spans="1:3" ht="13" x14ac:dyDescent="0.15">
      <c r="A534" s="3"/>
      <c r="B534" s="3"/>
      <c r="C534" s="3"/>
    </row>
    <row r="535" spans="1:3" ht="13" x14ac:dyDescent="0.15">
      <c r="A535" s="3"/>
      <c r="B535" s="3"/>
      <c r="C535" s="3"/>
    </row>
    <row r="536" spans="1:3" ht="13" x14ac:dyDescent="0.15">
      <c r="A536" s="3"/>
      <c r="B536" s="3"/>
      <c r="C536" s="3"/>
    </row>
    <row r="537" spans="1:3" ht="13" x14ac:dyDescent="0.15">
      <c r="A537" s="3"/>
      <c r="B537" s="3"/>
      <c r="C537" s="3"/>
    </row>
    <row r="538" spans="1:3" ht="13" x14ac:dyDescent="0.15">
      <c r="A538" s="3"/>
      <c r="B538" s="3"/>
      <c r="C538" s="3"/>
    </row>
    <row r="539" spans="1:3" ht="13" x14ac:dyDescent="0.15">
      <c r="A539" s="3"/>
      <c r="B539" s="3"/>
      <c r="C539" s="3"/>
    </row>
    <row r="540" spans="1:3" ht="13" x14ac:dyDescent="0.15">
      <c r="A540" s="3"/>
      <c r="B540" s="3"/>
      <c r="C540" s="3"/>
    </row>
    <row r="541" spans="1:3" ht="13" x14ac:dyDescent="0.15">
      <c r="A541" s="3"/>
      <c r="B541" s="3"/>
      <c r="C541" s="3"/>
    </row>
    <row r="542" spans="1:3" ht="13" x14ac:dyDescent="0.15">
      <c r="A542" s="3"/>
      <c r="B542" s="3"/>
      <c r="C542" s="3"/>
    </row>
    <row r="543" spans="1:3" ht="13" x14ac:dyDescent="0.15">
      <c r="A543" s="3"/>
      <c r="B543" s="3"/>
      <c r="C543" s="3"/>
    </row>
    <row r="544" spans="1:3" ht="13" x14ac:dyDescent="0.15">
      <c r="A544" s="3"/>
      <c r="B544" s="3"/>
      <c r="C544" s="3"/>
    </row>
    <row r="545" spans="1:3" ht="13" x14ac:dyDescent="0.15">
      <c r="A545" s="3"/>
      <c r="B545" s="3"/>
      <c r="C545" s="3"/>
    </row>
    <row r="546" spans="1:3" ht="13" x14ac:dyDescent="0.15">
      <c r="A546" s="3"/>
      <c r="B546" s="3"/>
      <c r="C546" s="3"/>
    </row>
    <row r="547" spans="1:3" ht="13" x14ac:dyDescent="0.15">
      <c r="A547" s="3"/>
      <c r="B547" s="3"/>
      <c r="C547" s="3"/>
    </row>
    <row r="548" spans="1:3" ht="13" x14ac:dyDescent="0.15">
      <c r="A548" s="3"/>
      <c r="B548" s="3"/>
      <c r="C548" s="3"/>
    </row>
    <row r="549" spans="1:3" ht="13" x14ac:dyDescent="0.15">
      <c r="A549" s="3"/>
      <c r="B549" s="3"/>
      <c r="C549" s="3"/>
    </row>
    <row r="550" spans="1:3" ht="13" x14ac:dyDescent="0.15">
      <c r="A550" s="3"/>
      <c r="B550" s="3"/>
      <c r="C550" s="3"/>
    </row>
    <row r="551" spans="1:3" ht="13" x14ac:dyDescent="0.15">
      <c r="A551" s="3"/>
      <c r="B551" s="3"/>
      <c r="C551" s="3"/>
    </row>
    <row r="552" spans="1:3" ht="13" x14ac:dyDescent="0.15">
      <c r="A552" s="3"/>
      <c r="B552" s="3"/>
      <c r="C552" s="3"/>
    </row>
    <row r="553" spans="1:3" ht="13" x14ac:dyDescent="0.15">
      <c r="A553" s="3"/>
      <c r="B553" s="3"/>
      <c r="C553" s="3"/>
    </row>
    <row r="554" spans="1:3" ht="13" x14ac:dyDescent="0.15">
      <c r="A554" s="3"/>
      <c r="B554" s="3"/>
      <c r="C554" s="3"/>
    </row>
    <row r="555" spans="1:3" ht="13" x14ac:dyDescent="0.15">
      <c r="A555" s="3"/>
      <c r="B555" s="3"/>
      <c r="C555" s="3"/>
    </row>
    <row r="556" spans="1:3" ht="13" x14ac:dyDescent="0.15">
      <c r="A556" s="3"/>
      <c r="B556" s="3"/>
      <c r="C556" s="3"/>
    </row>
    <row r="557" spans="1:3" ht="13" x14ac:dyDescent="0.15">
      <c r="A557" s="3"/>
      <c r="B557" s="3"/>
      <c r="C557" s="3"/>
    </row>
    <row r="558" spans="1:3" ht="13" x14ac:dyDescent="0.15">
      <c r="A558" s="3"/>
      <c r="B558" s="3"/>
      <c r="C558" s="3"/>
    </row>
    <row r="559" spans="1:3" ht="13" x14ac:dyDescent="0.15">
      <c r="A559" s="3"/>
      <c r="B559" s="3"/>
      <c r="C559" s="3"/>
    </row>
    <row r="560" spans="1:3" ht="13" x14ac:dyDescent="0.15">
      <c r="A560" s="3"/>
      <c r="B560" s="3"/>
      <c r="C560" s="3"/>
    </row>
    <row r="561" spans="1:3" ht="13" x14ac:dyDescent="0.15">
      <c r="A561" s="3"/>
      <c r="B561" s="3"/>
      <c r="C561" s="3"/>
    </row>
    <row r="562" spans="1:3" ht="13" x14ac:dyDescent="0.15">
      <c r="A562" s="3"/>
      <c r="B562" s="3"/>
      <c r="C562" s="3"/>
    </row>
    <row r="563" spans="1:3" ht="13" x14ac:dyDescent="0.15">
      <c r="A563" s="3"/>
      <c r="B563" s="3"/>
      <c r="C563" s="3"/>
    </row>
    <row r="564" spans="1:3" ht="13" x14ac:dyDescent="0.15">
      <c r="A564" s="3"/>
      <c r="B564" s="3"/>
      <c r="C564" s="3"/>
    </row>
    <row r="565" spans="1:3" ht="13" x14ac:dyDescent="0.15">
      <c r="A565" s="3"/>
      <c r="B565" s="3"/>
      <c r="C565" s="3"/>
    </row>
    <row r="566" spans="1:3" ht="13" x14ac:dyDescent="0.15">
      <c r="A566" s="3"/>
      <c r="B566" s="3"/>
      <c r="C566" s="3"/>
    </row>
    <row r="567" spans="1:3" ht="13" x14ac:dyDescent="0.15">
      <c r="A567" s="3"/>
      <c r="B567" s="3"/>
      <c r="C567" s="3"/>
    </row>
    <row r="568" spans="1:3" ht="13" x14ac:dyDescent="0.15">
      <c r="A568" s="3"/>
      <c r="B568" s="3"/>
      <c r="C568" s="3"/>
    </row>
    <row r="569" spans="1:3" ht="13" x14ac:dyDescent="0.15">
      <c r="A569" s="3"/>
      <c r="B569" s="3"/>
      <c r="C569" s="3"/>
    </row>
    <row r="570" spans="1:3" ht="13" x14ac:dyDescent="0.15">
      <c r="A570" s="3"/>
      <c r="B570" s="3"/>
      <c r="C570" s="3"/>
    </row>
    <row r="571" spans="1:3" ht="13" x14ac:dyDescent="0.15">
      <c r="A571" s="3"/>
      <c r="B571" s="3"/>
      <c r="C571" s="3"/>
    </row>
    <row r="572" spans="1:3" ht="13" x14ac:dyDescent="0.15">
      <c r="A572" s="3"/>
      <c r="B572" s="3"/>
      <c r="C572" s="3"/>
    </row>
    <row r="573" spans="1:3" ht="13" x14ac:dyDescent="0.15">
      <c r="A573" s="3"/>
      <c r="B573" s="3"/>
      <c r="C573" s="3"/>
    </row>
    <row r="574" spans="1:3" ht="13" x14ac:dyDescent="0.15">
      <c r="A574" s="3"/>
      <c r="B574" s="3"/>
      <c r="C574" s="3"/>
    </row>
    <row r="575" spans="1:3" ht="13" x14ac:dyDescent="0.15">
      <c r="A575" s="3"/>
      <c r="B575" s="3"/>
      <c r="C575" s="3"/>
    </row>
    <row r="576" spans="1:3" ht="13" x14ac:dyDescent="0.15">
      <c r="A576" s="3"/>
      <c r="B576" s="3"/>
      <c r="C576" s="3"/>
    </row>
    <row r="577" spans="1:3" ht="13" x14ac:dyDescent="0.15">
      <c r="A577" s="3"/>
      <c r="B577" s="3"/>
      <c r="C577" s="3"/>
    </row>
    <row r="578" spans="1:3" ht="13" x14ac:dyDescent="0.15">
      <c r="A578" s="3"/>
      <c r="B578" s="3"/>
      <c r="C578" s="3"/>
    </row>
    <row r="579" spans="1:3" ht="13" x14ac:dyDescent="0.15">
      <c r="A579" s="3"/>
      <c r="B579" s="3"/>
      <c r="C579" s="3"/>
    </row>
    <row r="580" spans="1:3" ht="13" x14ac:dyDescent="0.15">
      <c r="A580" s="3"/>
      <c r="B580" s="3"/>
      <c r="C580" s="3"/>
    </row>
    <row r="581" spans="1:3" ht="13" x14ac:dyDescent="0.15">
      <c r="A581" s="3"/>
      <c r="B581" s="3"/>
      <c r="C581" s="3"/>
    </row>
    <row r="582" spans="1:3" ht="13" x14ac:dyDescent="0.15">
      <c r="A582" s="3"/>
      <c r="B582" s="3"/>
      <c r="C582" s="3"/>
    </row>
    <row r="583" spans="1:3" ht="13" x14ac:dyDescent="0.15">
      <c r="A583" s="3"/>
      <c r="B583" s="3"/>
      <c r="C583" s="3"/>
    </row>
    <row r="584" spans="1:3" ht="13" x14ac:dyDescent="0.15">
      <c r="A584" s="3"/>
      <c r="B584" s="3"/>
      <c r="C584" s="3"/>
    </row>
    <row r="585" spans="1:3" ht="13" x14ac:dyDescent="0.15">
      <c r="A585" s="3"/>
      <c r="B585" s="3"/>
      <c r="C585" s="3"/>
    </row>
    <row r="586" spans="1:3" ht="13" x14ac:dyDescent="0.15">
      <c r="A586" s="3"/>
      <c r="B586" s="3"/>
      <c r="C586" s="3"/>
    </row>
    <row r="587" spans="1:3" ht="13" x14ac:dyDescent="0.15">
      <c r="A587" s="3"/>
      <c r="B587" s="3"/>
      <c r="C587" s="3"/>
    </row>
    <row r="588" spans="1:3" ht="13" x14ac:dyDescent="0.15">
      <c r="A588" s="3"/>
      <c r="B588" s="3"/>
      <c r="C588" s="3"/>
    </row>
    <row r="589" spans="1:3" ht="13" x14ac:dyDescent="0.15">
      <c r="A589" s="3"/>
      <c r="B589" s="3"/>
      <c r="C589" s="3"/>
    </row>
    <row r="590" spans="1:3" ht="13" x14ac:dyDescent="0.15">
      <c r="A590" s="3"/>
      <c r="B590" s="3"/>
      <c r="C590" s="3"/>
    </row>
    <row r="591" spans="1:3" ht="13" x14ac:dyDescent="0.15">
      <c r="A591" s="3"/>
      <c r="B591" s="3"/>
      <c r="C591" s="3"/>
    </row>
    <row r="592" spans="1:3" ht="13" x14ac:dyDescent="0.15">
      <c r="A592" s="3"/>
      <c r="B592" s="3"/>
      <c r="C592" s="3"/>
    </row>
    <row r="593" spans="1:3" ht="13" x14ac:dyDescent="0.15">
      <c r="A593" s="3"/>
      <c r="B593" s="3"/>
      <c r="C593" s="3"/>
    </row>
    <row r="594" spans="1:3" ht="13" x14ac:dyDescent="0.15">
      <c r="A594" s="3"/>
      <c r="B594" s="3"/>
      <c r="C594" s="3"/>
    </row>
    <row r="595" spans="1:3" ht="13" x14ac:dyDescent="0.15">
      <c r="A595" s="3"/>
      <c r="B595" s="3"/>
      <c r="C595" s="3"/>
    </row>
    <row r="596" spans="1:3" ht="13" x14ac:dyDescent="0.15">
      <c r="A596" s="3"/>
      <c r="B596" s="3"/>
      <c r="C596" s="3"/>
    </row>
    <row r="597" spans="1:3" ht="13" x14ac:dyDescent="0.15">
      <c r="A597" s="3"/>
      <c r="B597" s="3"/>
      <c r="C597" s="3"/>
    </row>
    <row r="598" spans="1:3" ht="13" x14ac:dyDescent="0.15">
      <c r="A598" s="3"/>
      <c r="B598" s="3"/>
      <c r="C598" s="3"/>
    </row>
    <row r="599" spans="1:3" ht="13" x14ac:dyDescent="0.15">
      <c r="A599" s="3"/>
      <c r="B599" s="3"/>
      <c r="C599" s="3"/>
    </row>
    <row r="600" spans="1:3" ht="13" x14ac:dyDescent="0.15">
      <c r="A600" s="3"/>
      <c r="B600" s="3"/>
      <c r="C600" s="3"/>
    </row>
    <row r="601" spans="1:3" ht="13" x14ac:dyDescent="0.15">
      <c r="A601" s="3"/>
      <c r="B601" s="3"/>
      <c r="C601" s="3"/>
    </row>
    <row r="602" spans="1:3" ht="13" x14ac:dyDescent="0.15">
      <c r="A602" s="3"/>
      <c r="B602" s="3"/>
      <c r="C602" s="3"/>
    </row>
    <row r="603" spans="1:3" ht="13" x14ac:dyDescent="0.15">
      <c r="A603" s="3"/>
      <c r="B603" s="3"/>
      <c r="C603" s="3"/>
    </row>
    <row r="604" spans="1:3" ht="13" x14ac:dyDescent="0.15">
      <c r="A604" s="3"/>
      <c r="B604" s="3"/>
      <c r="C604" s="3"/>
    </row>
    <row r="605" spans="1:3" ht="13" x14ac:dyDescent="0.15">
      <c r="A605" s="3"/>
      <c r="B605" s="3"/>
      <c r="C605" s="3"/>
    </row>
    <row r="606" spans="1:3" ht="13" x14ac:dyDescent="0.15">
      <c r="A606" s="3"/>
      <c r="B606" s="3"/>
      <c r="C606" s="3"/>
    </row>
    <row r="607" spans="1:3" ht="13" x14ac:dyDescent="0.15">
      <c r="A607" s="3"/>
      <c r="B607" s="3"/>
      <c r="C607" s="3"/>
    </row>
    <row r="608" spans="1:3" ht="13" x14ac:dyDescent="0.15">
      <c r="A608" s="3"/>
      <c r="B608" s="3"/>
      <c r="C608" s="3"/>
    </row>
    <row r="609" spans="1:3" ht="13" x14ac:dyDescent="0.15">
      <c r="A609" s="3"/>
      <c r="B609" s="3"/>
      <c r="C609" s="3"/>
    </row>
    <row r="610" spans="1:3" ht="13" x14ac:dyDescent="0.15">
      <c r="A610" s="3"/>
      <c r="B610" s="3"/>
      <c r="C610" s="3"/>
    </row>
    <row r="611" spans="1:3" ht="13" x14ac:dyDescent="0.15">
      <c r="A611" s="3"/>
      <c r="B611" s="3"/>
      <c r="C611" s="3"/>
    </row>
    <row r="612" spans="1:3" ht="13" x14ac:dyDescent="0.15">
      <c r="A612" s="3"/>
      <c r="B612" s="3"/>
      <c r="C612" s="3"/>
    </row>
    <row r="613" spans="1:3" ht="13" x14ac:dyDescent="0.15">
      <c r="A613" s="3"/>
      <c r="B613" s="3"/>
      <c r="C613" s="3"/>
    </row>
    <row r="614" spans="1:3" ht="13" x14ac:dyDescent="0.15">
      <c r="A614" s="3"/>
      <c r="B614" s="3"/>
      <c r="C614" s="3"/>
    </row>
    <row r="615" spans="1:3" ht="13" x14ac:dyDescent="0.15">
      <c r="A615" s="3"/>
      <c r="B615" s="3"/>
      <c r="C615" s="3"/>
    </row>
    <row r="616" spans="1:3" ht="13" x14ac:dyDescent="0.15">
      <c r="A616" s="3"/>
      <c r="B616" s="3"/>
      <c r="C616" s="3"/>
    </row>
    <row r="617" spans="1:3" ht="13" x14ac:dyDescent="0.15">
      <c r="A617" s="3"/>
      <c r="B617" s="3"/>
      <c r="C617" s="3"/>
    </row>
    <row r="618" spans="1:3" ht="13" x14ac:dyDescent="0.15">
      <c r="A618" s="3"/>
      <c r="B618" s="3"/>
      <c r="C618" s="3"/>
    </row>
    <row r="619" spans="1:3" ht="13" x14ac:dyDescent="0.15">
      <c r="A619" s="3"/>
      <c r="B619" s="3"/>
      <c r="C619" s="3"/>
    </row>
    <row r="620" spans="1:3" ht="13" x14ac:dyDescent="0.15">
      <c r="A620" s="3"/>
      <c r="B620" s="3"/>
      <c r="C620" s="3"/>
    </row>
    <row r="621" spans="1:3" ht="13" x14ac:dyDescent="0.15">
      <c r="A621" s="3"/>
      <c r="B621" s="3"/>
      <c r="C621" s="3"/>
    </row>
    <row r="622" spans="1:3" ht="13" x14ac:dyDescent="0.15">
      <c r="A622" s="3"/>
      <c r="B622" s="3"/>
      <c r="C622" s="3"/>
    </row>
    <row r="623" spans="1:3" ht="13" x14ac:dyDescent="0.15">
      <c r="A623" s="3"/>
      <c r="B623" s="3"/>
      <c r="C623" s="3"/>
    </row>
    <row r="624" spans="1:3" ht="13" x14ac:dyDescent="0.15">
      <c r="A624" s="3"/>
      <c r="B624" s="3"/>
      <c r="C624" s="3"/>
    </row>
    <row r="625" spans="1:3" ht="13" x14ac:dyDescent="0.15">
      <c r="A625" s="3"/>
      <c r="B625" s="3"/>
      <c r="C625" s="3"/>
    </row>
    <row r="626" spans="1:3" ht="13" x14ac:dyDescent="0.15">
      <c r="A626" s="3"/>
      <c r="B626" s="3"/>
      <c r="C626" s="3"/>
    </row>
    <row r="627" spans="1:3" ht="13" x14ac:dyDescent="0.15">
      <c r="A627" s="3"/>
      <c r="B627" s="3"/>
      <c r="C627" s="3"/>
    </row>
    <row r="628" spans="1:3" ht="13" x14ac:dyDescent="0.15">
      <c r="A628" s="3"/>
      <c r="B628" s="3"/>
      <c r="C628" s="3"/>
    </row>
    <row r="629" spans="1:3" ht="13" x14ac:dyDescent="0.15">
      <c r="A629" s="3"/>
      <c r="B629" s="3"/>
      <c r="C629" s="3"/>
    </row>
    <row r="630" spans="1:3" ht="13" x14ac:dyDescent="0.15">
      <c r="A630" s="3"/>
      <c r="B630" s="3"/>
      <c r="C630" s="3"/>
    </row>
    <row r="631" spans="1:3" ht="13" x14ac:dyDescent="0.15">
      <c r="A631" s="3"/>
      <c r="B631" s="3"/>
      <c r="C631" s="3"/>
    </row>
    <row r="632" spans="1:3" ht="13" x14ac:dyDescent="0.15">
      <c r="A632" s="3"/>
      <c r="B632" s="3"/>
      <c r="C632" s="3"/>
    </row>
    <row r="633" spans="1:3" ht="13" x14ac:dyDescent="0.15">
      <c r="A633" s="3"/>
      <c r="B633" s="3"/>
      <c r="C633" s="3"/>
    </row>
    <row r="634" spans="1:3" ht="13" x14ac:dyDescent="0.15">
      <c r="A634" s="3"/>
      <c r="B634" s="3"/>
      <c r="C634" s="3"/>
    </row>
    <row r="635" spans="1:3" ht="13" x14ac:dyDescent="0.15">
      <c r="A635" s="3"/>
      <c r="B635" s="3"/>
      <c r="C635" s="3"/>
    </row>
    <row r="636" spans="1:3" ht="13" x14ac:dyDescent="0.15">
      <c r="A636" s="3"/>
      <c r="B636" s="3"/>
      <c r="C636" s="3"/>
    </row>
    <row r="637" spans="1:3" ht="13" x14ac:dyDescent="0.15">
      <c r="A637" s="3"/>
      <c r="B637" s="3"/>
      <c r="C637" s="3"/>
    </row>
    <row r="638" spans="1:3" ht="13" x14ac:dyDescent="0.15">
      <c r="A638" s="3"/>
      <c r="B638" s="3"/>
      <c r="C638" s="3"/>
    </row>
    <row r="639" spans="1:3" ht="13" x14ac:dyDescent="0.15">
      <c r="A639" s="3"/>
      <c r="B639" s="3"/>
      <c r="C639" s="3"/>
    </row>
    <row r="640" spans="1:3" ht="13" x14ac:dyDescent="0.15">
      <c r="A640" s="3"/>
      <c r="B640" s="3"/>
      <c r="C640" s="3"/>
    </row>
    <row r="641" spans="1:3" ht="13" x14ac:dyDescent="0.15">
      <c r="A641" s="3"/>
      <c r="B641" s="3"/>
      <c r="C641" s="3"/>
    </row>
    <row r="642" spans="1:3" ht="13" x14ac:dyDescent="0.15">
      <c r="A642" s="3"/>
      <c r="B642" s="3"/>
      <c r="C642" s="3"/>
    </row>
    <row r="643" spans="1:3" ht="13" x14ac:dyDescent="0.15">
      <c r="A643" s="3"/>
      <c r="B643" s="3"/>
      <c r="C643" s="3"/>
    </row>
    <row r="644" spans="1:3" ht="13" x14ac:dyDescent="0.15">
      <c r="A644" s="3"/>
      <c r="B644" s="3"/>
      <c r="C644" s="3"/>
    </row>
    <row r="645" spans="1:3" ht="13" x14ac:dyDescent="0.15">
      <c r="A645" s="3"/>
      <c r="B645" s="3"/>
      <c r="C645" s="3"/>
    </row>
    <row r="646" spans="1:3" ht="13" x14ac:dyDescent="0.15">
      <c r="A646" s="3"/>
      <c r="B646" s="3"/>
      <c r="C646" s="3"/>
    </row>
    <row r="647" spans="1:3" ht="13" x14ac:dyDescent="0.15">
      <c r="A647" s="3"/>
      <c r="B647" s="3"/>
      <c r="C647" s="3"/>
    </row>
    <row r="648" spans="1:3" ht="13" x14ac:dyDescent="0.15">
      <c r="A648" s="3"/>
      <c r="B648" s="3"/>
      <c r="C648" s="3"/>
    </row>
    <row r="649" spans="1:3" ht="13" x14ac:dyDescent="0.15">
      <c r="A649" s="3"/>
      <c r="B649" s="3"/>
      <c r="C649" s="3"/>
    </row>
    <row r="650" spans="1:3" ht="13" x14ac:dyDescent="0.15">
      <c r="A650" s="3"/>
      <c r="B650" s="3"/>
      <c r="C650" s="3"/>
    </row>
    <row r="651" spans="1:3" ht="13" x14ac:dyDescent="0.15">
      <c r="A651" s="3"/>
      <c r="B651" s="3"/>
      <c r="C651" s="3"/>
    </row>
    <row r="652" spans="1:3" ht="13" x14ac:dyDescent="0.15">
      <c r="A652" s="3"/>
      <c r="B652" s="3"/>
      <c r="C652" s="3"/>
    </row>
    <row r="653" spans="1:3" ht="13" x14ac:dyDescent="0.15">
      <c r="A653" s="3"/>
      <c r="B653" s="3"/>
      <c r="C653" s="3"/>
    </row>
    <row r="654" spans="1:3" ht="13" x14ac:dyDescent="0.15">
      <c r="A654" s="3"/>
      <c r="B654" s="3"/>
      <c r="C654" s="3"/>
    </row>
    <row r="655" spans="1:3" ht="13" x14ac:dyDescent="0.15">
      <c r="A655" s="3"/>
      <c r="B655" s="3"/>
      <c r="C655" s="3"/>
    </row>
    <row r="656" spans="1:3" ht="13" x14ac:dyDescent="0.15">
      <c r="A656" s="3"/>
      <c r="B656" s="3"/>
      <c r="C656" s="3"/>
    </row>
    <row r="657" spans="1:3" ht="13" x14ac:dyDescent="0.15">
      <c r="A657" s="3"/>
      <c r="B657" s="3"/>
      <c r="C657" s="3"/>
    </row>
    <row r="658" spans="1:3" ht="13" x14ac:dyDescent="0.15">
      <c r="A658" s="3"/>
      <c r="B658" s="3"/>
      <c r="C658" s="3"/>
    </row>
    <row r="659" spans="1:3" ht="13" x14ac:dyDescent="0.15">
      <c r="A659" s="3"/>
      <c r="B659" s="3"/>
      <c r="C659" s="3"/>
    </row>
    <row r="660" spans="1:3" ht="13" x14ac:dyDescent="0.15">
      <c r="A660" s="3"/>
      <c r="B660" s="3"/>
      <c r="C660" s="3"/>
    </row>
    <row r="661" spans="1:3" ht="13" x14ac:dyDescent="0.15">
      <c r="A661" s="3"/>
      <c r="B661" s="3"/>
      <c r="C661" s="3"/>
    </row>
    <row r="662" spans="1:3" ht="13" x14ac:dyDescent="0.15">
      <c r="A662" s="3"/>
      <c r="B662" s="3"/>
      <c r="C662" s="3"/>
    </row>
    <row r="663" spans="1:3" ht="13" x14ac:dyDescent="0.15">
      <c r="A663" s="3"/>
      <c r="B663" s="3"/>
      <c r="C663" s="3"/>
    </row>
    <row r="664" spans="1:3" ht="13" x14ac:dyDescent="0.15">
      <c r="A664" s="3"/>
      <c r="B664" s="3"/>
      <c r="C664" s="3"/>
    </row>
    <row r="665" spans="1:3" ht="13" x14ac:dyDescent="0.15">
      <c r="A665" s="3"/>
      <c r="B665" s="3"/>
      <c r="C665" s="3"/>
    </row>
    <row r="666" spans="1:3" ht="13" x14ac:dyDescent="0.15">
      <c r="A666" s="3"/>
      <c r="B666" s="3"/>
      <c r="C666" s="3"/>
    </row>
    <row r="667" spans="1:3" ht="13" x14ac:dyDescent="0.15">
      <c r="A667" s="3"/>
      <c r="B667" s="3"/>
      <c r="C667" s="3"/>
    </row>
    <row r="668" spans="1:3" ht="13" x14ac:dyDescent="0.15">
      <c r="A668" s="3"/>
      <c r="B668" s="3"/>
      <c r="C668" s="3"/>
    </row>
    <row r="669" spans="1:3" ht="13" x14ac:dyDescent="0.15">
      <c r="A669" s="3"/>
      <c r="B669" s="3"/>
      <c r="C669" s="3"/>
    </row>
    <row r="670" spans="1:3" ht="13" x14ac:dyDescent="0.15">
      <c r="A670" s="3"/>
      <c r="B670" s="3"/>
      <c r="C670" s="3"/>
    </row>
    <row r="671" spans="1:3" ht="13" x14ac:dyDescent="0.15">
      <c r="A671" s="3"/>
      <c r="B671" s="3"/>
      <c r="C671" s="3"/>
    </row>
    <row r="672" spans="1:3" ht="13" x14ac:dyDescent="0.15">
      <c r="A672" s="3"/>
      <c r="B672" s="3"/>
      <c r="C672" s="3"/>
    </row>
    <row r="673" spans="1:3" ht="13" x14ac:dyDescent="0.15">
      <c r="A673" s="3"/>
      <c r="B673" s="3"/>
      <c r="C673" s="3"/>
    </row>
    <row r="674" spans="1:3" ht="13" x14ac:dyDescent="0.15">
      <c r="A674" s="3"/>
      <c r="B674" s="3"/>
      <c r="C674" s="3"/>
    </row>
    <row r="675" spans="1:3" ht="13" x14ac:dyDescent="0.15">
      <c r="A675" s="3"/>
      <c r="B675" s="3"/>
      <c r="C675" s="3"/>
    </row>
    <row r="676" spans="1:3" ht="13" x14ac:dyDescent="0.15">
      <c r="A676" s="3"/>
      <c r="B676" s="3"/>
      <c r="C676" s="3"/>
    </row>
    <row r="677" spans="1:3" ht="13" x14ac:dyDescent="0.15">
      <c r="A677" s="3"/>
      <c r="B677" s="3"/>
      <c r="C677" s="3"/>
    </row>
    <row r="678" spans="1:3" ht="13" x14ac:dyDescent="0.15">
      <c r="A678" s="3"/>
      <c r="B678" s="3"/>
      <c r="C678" s="3"/>
    </row>
    <row r="679" spans="1:3" ht="13" x14ac:dyDescent="0.15">
      <c r="A679" s="3"/>
      <c r="B679" s="3"/>
      <c r="C679" s="3"/>
    </row>
    <row r="680" spans="1:3" ht="13" x14ac:dyDescent="0.15">
      <c r="A680" s="3"/>
      <c r="B680" s="3"/>
      <c r="C680" s="3"/>
    </row>
    <row r="681" spans="1:3" ht="13" x14ac:dyDescent="0.15">
      <c r="A681" s="3"/>
      <c r="B681" s="3"/>
      <c r="C681" s="3"/>
    </row>
    <row r="682" spans="1:3" ht="13" x14ac:dyDescent="0.15">
      <c r="A682" s="3"/>
      <c r="B682" s="3"/>
      <c r="C682" s="3"/>
    </row>
    <row r="683" spans="1:3" ht="13" x14ac:dyDescent="0.15">
      <c r="A683" s="3"/>
      <c r="B683" s="3"/>
      <c r="C683" s="3"/>
    </row>
    <row r="684" spans="1:3" ht="13" x14ac:dyDescent="0.15">
      <c r="A684" s="3"/>
      <c r="B684" s="3"/>
      <c r="C684" s="3"/>
    </row>
    <row r="685" spans="1:3" ht="13" x14ac:dyDescent="0.15">
      <c r="A685" s="3"/>
      <c r="B685" s="3"/>
      <c r="C685" s="3"/>
    </row>
    <row r="686" spans="1:3" ht="13" x14ac:dyDescent="0.15">
      <c r="A686" s="3"/>
      <c r="B686" s="3"/>
      <c r="C686" s="3"/>
    </row>
    <row r="687" spans="1:3" ht="13" x14ac:dyDescent="0.15">
      <c r="A687" s="3"/>
      <c r="B687" s="3"/>
      <c r="C687" s="3"/>
    </row>
    <row r="688" spans="1:3" ht="13" x14ac:dyDescent="0.15">
      <c r="A688" s="3"/>
      <c r="B688" s="3"/>
      <c r="C688" s="3"/>
    </row>
    <row r="689" spans="1:3" ht="13" x14ac:dyDescent="0.15">
      <c r="A689" s="3"/>
      <c r="B689" s="3"/>
      <c r="C689" s="3"/>
    </row>
    <row r="690" spans="1:3" ht="13" x14ac:dyDescent="0.15">
      <c r="A690" s="3"/>
      <c r="B690" s="3"/>
      <c r="C690" s="3"/>
    </row>
    <row r="691" spans="1:3" ht="13" x14ac:dyDescent="0.15">
      <c r="A691" s="3"/>
      <c r="B691" s="3"/>
      <c r="C691" s="3"/>
    </row>
    <row r="692" spans="1:3" ht="13" x14ac:dyDescent="0.15">
      <c r="A692" s="3"/>
      <c r="B692" s="3"/>
      <c r="C692" s="3"/>
    </row>
    <row r="693" spans="1:3" ht="13" x14ac:dyDescent="0.15">
      <c r="A693" s="3"/>
      <c r="B693" s="3"/>
      <c r="C693" s="3"/>
    </row>
    <row r="694" spans="1:3" ht="13" x14ac:dyDescent="0.15">
      <c r="A694" s="3"/>
      <c r="B694" s="3"/>
      <c r="C694" s="3"/>
    </row>
    <row r="695" spans="1:3" ht="13" x14ac:dyDescent="0.15">
      <c r="A695" s="3"/>
      <c r="B695" s="3"/>
      <c r="C695" s="3"/>
    </row>
    <row r="696" spans="1:3" ht="13" x14ac:dyDescent="0.15">
      <c r="A696" s="3"/>
      <c r="B696" s="3"/>
      <c r="C696" s="3"/>
    </row>
    <row r="697" spans="1:3" ht="13" x14ac:dyDescent="0.15">
      <c r="A697" s="3"/>
      <c r="B697" s="3"/>
      <c r="C697" s="3"/>
    </row>
    <row r="698" spans="1:3" ht="13" x14ac:dyDescent="0.15">
      <c r="A698" s="3"/>
      <c r="B698" s="3"/>
      <c r="C698" s="3"/>
    </row>
    <row r="699" spans="1:3" ht="13" x14ac:dyDescent="0.15">
      <c r="A699" s="3"/>
      <c r="B699" s="3"/>
      <c r="C699" s="3"/>
    </row>
    <row r="700" spans="1:3" ht="13" x14ac:dyDescent="0.15">
      <c r="A700" s="3"/>
      <c r="B700" s="3"/>
      <c r="C700" s="3"/>
    </row>
    <row r="701" spans="1:3" ht="13" x14ac:dyDescent="0.15">
      <c r="A701" s="3"/>
      <c r="B701" s="3"/>
      <c r="C701" s="3"/>
    </row>
    <row r="702" spans="1:3" ht="13" x14ac:dyDescent="0.15">
      <c r="A702" s="3"/>
      <c r="B702" s="3"/>
      <c r="C702" s="3"/>
    </row>
    <row r="703" spans="1:3" ht="13" x14ac:dyDescent="0.15">
      <c r="A703" s="3"/>
      <c r="B703" s="3"/>
      <c r="C703" s="3"/>
    </row>
    <row r="704" spans="1:3" ht="13" x14ac:dyDescent="0.15">
      <c r="A704" s="3"/>
      <c r="B704" s="3"/>
      <c r="C704" s="3"/>
    </row>
    <row r="705" spans="1:3" ht="13" x14ac:dyDescent="0.15">
      <c r="A705" s="3"/>
      <c r="B705" s="3"/>
      <c r="C705" s="3"/>
    </row>
    <row r="706" spans="1:3" ht="13" x14ac:dyDescent="0.15">
      <c r="A706" s="3"/>
      <c r="B706" s="3"/>
      <c r="C706" s="3"/>
    </row>
    <row r="707" spans="1:3" ht="13" x14ac:dyDescent="0.15">
      <c r="A707" s="3"/>
      <c r="B707" s="3"/>
      <c r="C707" s="3"/>
    </row>
    <row r="708" spans="1:3" ht="13" x14ac:dyDescent="0.15">
      <c r="A708" s="3"/>
      <c r="B708" s="3"/>
      <c r="C708" s="3"/>
    </row>
    <row r="709" spans="1:3" ht="13" x14ac:dyDescent="0.15">
      <c r="A709" s="3"/>
      <c r="B709" s="3"/>
      <c r="C709" s="3"/>
    </row>
    <row r="710" spans="1:3" ht="13" x14ac:dyDescent="0.15">
      <c r="A710" s="3"/>
      <c r="B710" s="3"/>
      <c r="C710" s="3"/>
    </row>
    <row r="711" spans="1:3" ht="13" x14ac:dyDescent="0.15">
      <c r="A711" s="3"/>
      <c r="B711" s="3"/>
      <c r="C711" s="3"/>
    </row>
    <row r="712" spans="1:3" ht="13" x14ac:dyDescent="0.15">
      <c r="A712" s="3"/>
      <c r="B712" s="3"/>
      <c r="C712" s="3"/>
    </row>
    <row r="713" spans="1:3" ht="13" x14ac:dyDescent="0.15">
      <c r="A713" s="3"/>
      <c r="B713" s="3"/>
      <c r="C713" s="3"/>
    </row>
    <row r="714" spans="1:3" ht="13" x14ac:dyDescent="0.15">
      <c r="A714" s="3"/>
      <c r="B714" s="3"/>
      <c r="C714" s="3"/>
    </row>
    <row r="715" spans="1:3" ht="13" x14ac:dyDescent="0.15">
      <c r="A715" s="3"/>
      <c r="B715" s="3"/>
      <c r="C715" s="3"/>
    </row>
    <row r="716" spans="1:3" ht="13" x14ac:dyDescent="0.15">
      <c r="A716" s="3"/>
      <c r="B716" s="3"/>
      <c r="C716" s="3"/>
    </row>
    <row r="717" spans="1:3" ht="13" x14ac:dyDescent="0.15">
      <c r="A717" s="3"/>
      <c r="B717" s="3"/>
      <c r="C717" s="3"/>
    </row>
    <row r="718" spans="1:3" ht="13" x14ac:dyDescent="0.15">
      <c r="A718" s="3"/>
      <c r="B718" s="3"/>
      <c r="C718" s="3"/>
    </row>
    <row r="719" spans="1:3" ht="13" x14ac:dyDescent="0.15">
      <c r="A719" s="3"/>
      <c r="B719" s="3"/>
      <c r="C719" s="3"/>
    </row>
    <row r="720" spans="1:3" ht="13" x14ac:dyDescent="0.15">
      <c r="A720" s="3"/>
      <c r="B720" s="3"/>
      <c r="C720" s="3"/>
    </row>
    <row r="721" spans="1:3" ht="13" x14ac:dyDescent="0.15">
      <c r="A721" s="3"/>
      <c r="B721" s="3"/>
      <c r="C721" s="3"/>
    </row>
    <row r="722" spans="1:3" ht="13" x14ac:dyDescent="0.15">
      <c r="A722" s="3"/>
      <c r="B722" s="3"/>
      <c r="C722" s="3"/>
    </row>
    <row r="723" spans="1:3" ht="13" x14ac:dyDescent="0.15">
      <c r="A723" s="3"/>
      <c r="B723" s="3"/>
      <c r="C723" s="3"/>
    </row>
    <row r="724" spans="1:3" ht="13" x14ac:dyDescent="0.15">
      <c r="A724" s="3"/>
      <c r="B724" s="3"/>
      <c r="C724" s="3"/>
    </row>
    <row r="725" spans="1:3" ht="13" x14ac:dyDescent="0.15">
      <c r="A725" s="3"/>
      <c r="B725" s="3"/>
      <c r="C725" s="3"/>
    </row>
    <row r="726" spans="1:3" ht="13" x14ac:dyDescent="0.15">
      <c r="A726" s="3"/>
      <c r="B726" s="3"/>
      <c r="C726" s="3"/>
    </row>
    <row r="727" spans="1:3" ht="13" x14ac:dyDescent="0.15">
      <c r="A727" s="3"/>
      <c r="B727" s="3"/>
      <c r="C727" s="3"/>
    </row>
    <row r="728" spans="1:3" ht="13" x14ac:dyDescent="0.15">
      <c r="A728" s="3"/>
      <c r="B728" s="3"/>
      <c r="C728" s="3"/>
    </row>
    <row r="729" spans="1:3" ht="13" x14ac:dyDescent="0.15">
      <c r="A729" s="3"/>
      <c r="B729" s="3"/>
      <c r="C729" s="3"/>
    </row>
    <row r="730" spans="1:3" ht="13" x14ac:dyDescent="0.15">
      <c r="A730" s="3"/>
      <c r="B730" s="3"/>
      <c r="C730" s="3"/>
    </row>
    <row r="731" spans="1:3" ht="13" x14ac:dyDescent="0.15">
      <c r="A731" s="3"/>
      <c r="B731" s="3"/>
      <c r="C731" s="3"/>
    </row>
    <row r="732" spans="1:3" ht="13" x14ac:dyDescent="0.15">
      <c r="A732" s="3"/>
      <c r="B732" s="3"/>
      <c r="C732" s="3"/>
    </row>
    <row r="733" spans="1:3" ht="13" x14ac:dyDescent="0.15">
      <c r="A733" s="3"/>
      <c r="B733" s="3"/>
      <c r="C733" s="3"/>
    </row>
    <row r="734" spans="1:3" ht="13" x14ac:dyDescent="0.15">
      <c r="A734" s="3"/>
      <c r="B734" s="3"/>
      <c r="C734" s="3"/>
    </row>
    <row r="735" spans="1:3" ht="13" x14ac:dyDescent="0.15">
      <c r="A735" s="3"/>
      <c r="B735" s="3"/>
      <c r="C735" s="3"/>
    </row>
    <row r="736" spans="1:3" ht="13" x14ac:dyDescent="0.15">
      <c r="A736" s="3"/>
      <c r="B736" s="3"/>
      <c r="C736" s="3"/>
    </row>
    <row r="737" spans="1:3" ht="13" x14ac:dyDescent="0.15">
      <c r="A737" s="3"/>
      <c r="B737" s="3"/>
      <c r="C737" s="3"/>
    </row>
    <row r="738" spans="1:3" ht="13" x14ac:dyDescent="0.15">
      <c r="A738" s="3"/>
      <c r="B738" s="3"/>
      <c r="C738" s="3"/>
    </row>
    <row r="739" spans="1:3" ht="13" x14ac:dyDescent="0.15">
      <c r="A739" s="3"/>
      <c r="B739" s="3"/>
      <c r="C739" s="3"/>
    </row>
    <row r="740" spans="1:3" ht="13" x14ac:dyDescent="0.15">
      <c r="A740" s="3"/>
      <c r="B740" s="3"/>
      <c r="C740" s="3"/>
    </row>
    <row r="741" spans="1:3" ht="13" x14ac:dyDescent="0.15">
      <c r="A741" s="3"/>
      <c r="B741" s="3"/>
      <c r="C741" s="3"/>
    </row>
    <row r="742" spans="1:3" ht="13" x14ac:dyDescent="0.15">
      <c r="A742" s="3"/>
      <c r="B742" s="3"/>
      <c r="C742" s="3"/>
    </row>
    <row r="743" spans="1:3" ht="13" x14ac:dyDescent="0.15">
      <c r="A743" s="3"/>
      <c r="B743" s="3"/>
      <c r="C743" s="3"/>
    </row>
    <row r="744" spans="1:3" ht="13" x14ac:dyDescent="0.15">
      <c r="A744" s="3"/>
      <c r="B744" s="3"/>
      <c r="C744" s="3"/>
    </row>
    <row r="745" spans="1:3" ht="13" x14ac:dyDescent="0.15">
      <c r="A745" s="3"/>
      <c r="B745" s="3"/>
      <c r="C745" s="3"/>
    </row>
    <row r="746" spans="1:3" ht="13" x14ac:dyDescent="0.15">
      <c r="A746" s="3"/>
      <c r="B746" s="3"/>
      <c r="C746" s="3"/>
    </row>
    <row r="747" spans="1:3" ht="13" x14ac:dyDescent="0.15">
      <c r="A747" s="3"/>
      <c r="B747" s="3"/>
      <c r="C747" s="3"/>
    </row>
    <row r="748" spans="1:3" ht="13" x14ac:dyDescent="0.15">
      <c r="A748" s="3"/>
      <c r="B748" s="3"/>
      <c r="C748" s="3"/>
    </row>
    <row r="749" spans="1:3" ht="13" x14ac:dyDescent="0.15">
      <c r="A749" s="3"/>
      <c r="B749" s="3"/>
      <c r="C749" s="3"/>
    </row>
    <row r="750" spans="1:3" ht="13" x14ac:dyDescent="0.15">
      <c r="A750" s="3"/>
      <c r="B750" s="3"/>
      <c r="C750" s="3"/>
    </row>
    <row r="751" spans="1:3" ht="13" x14ac:dyDescent="0.15">
      <c r="A751" s="3"/>
      <c r="B751" s="3"/>
      <c r="C751" s="3"/>
    </row>
    <row r="752" spans="1:3" ht="13" x14ac:dyDescent="0.15">
      <c r="A752" s="3"/>
      <c r="B752" s="3"/>
      <c r="C752" s="3"/>
    </row>
    <row r="753" spans="1:3" ht="13" x14ac:dyDescent="0.15">
      <c r="A753" s="3"/>
      <c r="B753" s="3"/>
      <c r="C753" s="3"/>
    </row>
    <row r="754" spans="1:3" ht="13" x14ac:dyDescent="0.15">
      <c r="A754" s="3"/>
      <c r="B754" s="3"/>
      <c r="C754" s="3"/>
    </row>
    <row r="755" spans="1:3" ht="13" x14ac:dyDescent="0.15">
      <c r="A755" s="3"/>
      <c r="B755" s="3"/>
      <c r="C755" s="3"/>
    </row>
    <row r="756" spans="1:3" ht="13" x14ac:dyDescent="0.15">
      <c r="A756" s="3"/>
      <c r="B756" s="3"/>
      <c r="C756" s="3"/>
    </row>
    <row r="757" spans="1:3" ht="13" x14ac:dyDescent="0.15">
      <c r="A757" s="3"/>
      <c r="B757" s="3"/>
      <c r="C757" s="3"/>
    </row>
    <row r="758" spans="1:3" ht="13" x14ac:dyDescent="0.15">
      <c r="A758" s="3"/>
      <c r="B758" s="3"/>
      <c r="C758" s="3"/>
    </row>
    <row r="759" spans="1:3" ht="13" x14ac:dyDescent="0.15">
      <c r="A759" s="3"/>
      <c r="B759" s="3"/>
      <c r="C759" s="3"/>
    </row>
    <row r="760" spans="1:3" ht="13" x14ac:dyDescent="0.15">
      <c r="A760" s="3"/>
      <c r="B760" s="3"/>
      <c r="C760" s="3"/>
    </row>
    <row r="761" spans="1:3" ht="13" x14ac:dyDescent="0.15">
      <c r="A761" s="3"/>
      <c r="B761" s="3"/>
      <c r="C761" s="3"/>
    </row>
    <row r="762" spans="1:3" ht="13" x14ac:dyDescent="0.15">
      <c r="A762" s="3"/>
      <c r="B762" s="3"/>
      <c r="C762" s="3"/>
    </row>
    <row r="763" spans="1:3" ht="13" x14ac:dyDescent="0.15">
      <c r="A763" s="3"/>
      <c r="B763" s="3"/>
      <c r="C763" s="3"/>
    </row>
    <row r="764" spans="1:3" ht="13" x14ac:dyDescent="0.15">
      <c r="A764" s="3"/>
      <c r="B764" s="3"/>
      <c r="C764" s="3"/>
    </row>
    <row r="765" spans="1:3" ht="13" x14ac:dyDescent="0.15">
      <c r="A765" s="3"/>
      <c r="B765" s="3"/>
      <c r="C765" s="3"/>
    </row>
    <row r="766" spans="1:3" ht="13" x14ac:dyDescent="0.15">
      <c r="A766" s="3"/>
      <c r="B766" s="3"/>
      <c r="C766" s="3"/>
    </row>
    <row r="767" spans="1:3" ht="13" x14ac:dyDescent="0.15">
      <c r="A767" s="3"/>
      <c r="B767" s="3"/>
      <c r="C767" s="3"/>
    </row>
    <row r="768" spans="1:3" ht="13" x14ac:dyDescent="0.15">
      <c r="A768" s="3"/>
      <c r="B768" s="3"/>
      <c r="C768" s="3"/>
    </row>
    <row r="769" spans="1:3" ht="13" x14ac:dyDescent="0.15">
      <c r="A769" s="3"/>
      <c r="B769" s="3"/>
      <c r="C769" s="3"/>
    </row>
    <row r="770" spans="1:3" ht="13" x14ac:dyDescent="0.15">
      <c r="A770" s="3"/>
      <c r="B770" s="3"/>
      <c r="C770" s="3"/>
    </row>
    <row r="771" spans="1:3" ht="13" x14ac:dyDescent="0.15">
      <c r="A771" s="3"/>
      <c r="B771" s="3"/>
      <c r="C771" s="3"/>
    </row>
    <row r="772" spans="1:3" ht="13" x14ac:dyDescent="0.15">
      <c r="A772" s="3"/>
      <c r="B772" s="3"/>
      <c r="C772" s="3"/>
    </row>
    <row r="773" spans="1:3" ht="13" x14ac:dyDescent="0.15">
      <c r="A773" s="3"/>
      <c r="B773" s="3"/>
      <c r="C773" s="3"/>
    </row>
    <row r="774" spans="1:3" ht="13" x14ac:dyDescent="0.15">
      <c r="A774" s="3"/>
      <c r="B774" s="3"/>
      <c r="C774" s="3"/>
    </row>
    <row r="775" spans="1:3" ht="13" x14ac:dyDescent="0.15">
      <c r="A775" s="3"/>
      <c r="B775" s="3"/>
      <c r="C775" s="3"/>
    </row>
    <row r="776" spans="1:3" ht="13" x14ac:dyDescent="0.15">
      <c r="A776" s="3"/>
      <c r="B776" s="3"/>
      <c r="C776" s="3"/>
    </row>
    <row r="777" spans="1:3" ht="13" x14ac:dyDescent="0.15">
      <c r="A777" s="3"/>
      <c r="B777" s="3"/>
      <c r="C777" s="3"/>
    </row>
    <row r="778" spans="1:3" ht="13" x14ac:dyDescent="0.15">
      <c r="A778" s="3"/>
      <c r="B778" s="3"/>
      <c r="C778" s="3"/>
    </row>
    <row r="779" spans="1:3" ht="13" x14ac:dyDescent="0.15">
      <c r="A779" s="3"/>
      <c r="B779" s="3"/>
      <c r="C779" s="3"/>
    </row>
    <row r="780" spans="1:3" ht="13" x14ac:dyDescent="0.15">
      <c r="A780" s="3"/>
      <c r="B780" s="3"/>
      <c r="C780" s="3"/>
    </row>
    <row r="781" spans="1:3" ht="13" x14ac:dyDescent="0.15">
      <c r="A781" s="3"/>
      <c r="B781" s="3"/>
      <c r="C781" s="3"/>
    </row>
    <row r="782" spans="1:3" ht="13" x14ac:dyDescent="0.15">
      <c r="A782" s="3"/>
      <c r="B782" s="3"/>
      <c r="C782" s="3"/>
    </row>
    <row r="783" spans="1:3" ht="13" x14ac:dyDescent="0.15">
      <c r="A783" s="3"/>
      <c r="B783" s="3"/>
      <c r="C783" s="3"/>
    </row>
    <row r="784" spans="1:3" ht="13" x14ac:dyDescent="0.15">
      <c r="A784" s="3"/>
      <c r="B784" s="3"/>
      <c r="C784" s="3"/>
    </row>
    <row r="785" spans="1:3" ht="13" x14ac:dyDescent="0.15">
      <c r="A785" s="3"/>
      <c r="B785" s="3"/>
      <c r="C785" s="3"/>
    </row>
    <row r="786" spans="1:3" ht="13" x14ac:dyDescent="0.15">
      <c r="A786" s="3"/>
      <c r="B786" s="3"/>
      <c r="C786" s="3"/>
    </row>
    <row r="787" spans="1:3" ht="13" x14ac:dyDescent="0.15">
      <c r="A787" s="3"/>
      <c r="B787" s="3"/>
      <c r="C787" s="3"/>
    </row>
    <row r="788" spans="1:3" ht="13" x14ac:dyDescent="0.15">
      <c r="A788" s="3"/>
      <c r="B788" s="3"/>
      <c r="C788" s="3"/>
    </row>
    <row r="789" spans="1:3" ht="13" x14ac:dyDescent="0.15">
      <c r="A789" s="3"/>
      <c r="B789" s="3"/>
      <c r="C789" s="3"/>
    </row>
    <row r="790" spans="1:3" ht="13" x14ac:dyDescent="0.15">
      <c r="A790" s="3"/>
      <c r="B790" s="3"/>
      <c r="C790" s="3"/>
    </row>
    <row r="791" spans="1:3" ht="13" x14ac:dyDescent="0.15">
      <c r="A791" s="3"/>
      <c r="B791" s="3"/>
      <c r="C791" s="3"/>
    </row>
    <row r="792" spans="1:3" ht="13" x14ac:dyDescent="0.15">
      <c r="A792" s="3"/>
      <c r="B792" s="3"/>
      <c r="C792" s="3"/>
    </row>
    <row r="793" spans="1:3" ht="13" x14ac:dyDescent="0.15">
      <c r="A793" s="3"/>
      <c r="B793" s="3"/>
      <c r="C793" s="3"/>
    </row>
    <row r="794" spans="1:3" ht="13" x14ac:dyDescent="0.15">
      <c r="A794" s="3"/>
      <c r="B794" s="3"/>
      <c r="C794" s="3"/>
    </row>
    <row r="795" spans="1:3" ht="13" x14ac:dyDescent="0.15">
      <c r="A795" s="3"/>
      <c r="B795" s="3"/>
      <c r="C795" s="3"/>
    </row>
    <row r="796" spans="1:3" ht="13" x14ac:dyDescent="0.15">
      <c r="A796" s="3"/>
      <c r="B796" s="3"/>
      <c r="C796" s="3"/>
    </row>
    <row r="797" spans="1:3" ht="13" x14ac:dyDescent="0.15">
      <c r="A797" s="3"/>
      <c r="B797" s="3"/>
      <c r="C797" s="3"/>
    </row>
    <row r="798" spans="1:3" ht="13" x14ac:dyDescent="0.15">
      <c r="A798" s="3"/>
      <c r="B798" s="3"/>
      <c r="C798" s="3"/>
    </row>
    <row r="799" spans="1:3" ht="13" x14ac:dyDescent="0.15">
      <c r="A799" s="3"/>
      <c r="B799" s="3"/>
      <c r="C799" s="3"/>
    </row>
    <row r="800" spans="1:3" ht="13" x14ac:dyDescent="0.15">
      <c r="A800" s="3"/>
      <c r="B800" s="3"/>
      <c r="C800" s="3"/>
    </row>
    <row r="801" spans="1:3" ht="13" x14ac:dyDescent="0.15">
      <c r="A801" s="3"/>
      <c r="B801" s="3"/>
      <c r="C801" s="3"/>
    </row>
    <row r="802" spans="1:3" ht="13" x14ac:dyDescent="0.15">
      <c r="A802" s="3"/>
      <c r="B802" s="3"/>
      <c r="C802" s="3"/>
    </row>
    <row r="803" spans="1:3" ht="13" x14ac:dyDescent="0.15">
      <c r="A803" s="3"/>
      <c r="B803" s="3"/>
      <c r="C803" s="3"/>
    </row>
    <row r="804" spans="1:3" ht="13" x14ac:dyDescent="0.15">
      <c r="A804" s="3"/>
      <c r="B804" s="3"/>
      <c r="C804" s="3"/>
    </row>
    <row r="805" spans="1:3" ht="13" x14ac:dyDescent="0.15">
      <c r="A805" s="3"/>
      <c r="B805" s="3"/>
      <c r="C805" s="3"/>
    </row>
    <row r="806" spans="1:3" ht="13" x14ac:dyDescent="0.15">
      <c r="A806" s="3"/>
      <c r="B806" s="3"/>
      <c r="C806" s="3"/>
    </row>
    <row r="807" spans="1:3" ht="13" x14ac:dyDescent="0.15">
      <c r="A807" s="3"/>
      <c r="B807" s="3"/>
      <c r="C807" s="3"/>
    </row>
    <row r="808" spans="1:3" ht="13" x14ac:dyDescent="0.15">
      <c r="A808" s="3"/>
      <c r="B808" s="3"/>
      <c r="C808" s="3"/>
    </row>
    <row r="809" spans="1:3" ht="13" x14ac:dyDescent="0.15">
      <c r="A809" s="3"/>
      <c r="B809" s="3"/>
      <c r="C809" s="3"/>
    </row>
    <row r="810" spans="1:3" ht="13" x14ac:dyDescent="0.15">
      <c r="A810" s="3"/>
      <c r="B810" s="3"/>
      <c r="C810" s="3"/>
    </row>
    <row r="811" spans="1:3" ht="13" x14ac:dyDescent="0.15">
      <c r="A811" s="3"/>
      <c r="B811" s="3"/>
      <c r="C811" s="3"/>
    </row>
    <row r="812" spans="1:3" ht="13" x14ac:dyDescent="0.15">
      <c r="A812" s="3"/>
      <c r="B812" s="3"/>
      <c r="C812" s="3"/>
    </row>
    <row r="813" spans="1:3" ht="13" x14ac:dyDescent="0.15">
      <c r="A813" s="3"/>
      <c r="B813" s="3"/>
      <c r="C813" s="3"/>
    </row>
    <row r="814" spans="1:3" ht="13" x14ac:dyDescent="0.15">
      <c r="A814" s="3"/>
      <c r="B814" s="3"/>
      <c r="C814" s="3"/>
    </row>
    <row r="815" spans="1:3" ht="13" x14ac:dyDescent="0.15">
      <c r="A815" s="3"/>
      <c r="B815" s="3"/>
      <c r="C815" s="3"/>
    </row>
    <row r="816" spans="1:3" ht="13" x14ac:dyDescent="0.15">
      <c r="A816" s="3"/>
      <c r="B816" s="3"/>
      <c r="C816" s="3"/>
    </row>
    <row r="817" spans="1:3" ht="13" x14ac:dyDescent="0.15">
      <c r="A817" s="3"/>
      <c r="B817" s="3"/>
      <c r="C817" s="3"/>
    </row>
    <row r="818" spans="1:3" ht="13" x14ac:dyDescent="0.15">
      <c r="A818" s="3"/>
      <c r="B818" s="3"/>
      <c r="C818" s="3"/>
    </row>
    <row r="819" spans="1:3" ht="13" x14ac:dyDescent="0.15">
      <c r="A819" s="3"/>
      <c r="B819" s="3"/>
      <c r="C819" s="3"/>
    </row>
    <row r="820" spans="1:3" ht="13" x14ac:dyDescent="0.15">
      <c r="A820" s="3"/>
      <c r="B820" s="3"/>
      <c r="C820" s="3"/>
    </row>
    <row r="821" spans="1:3" ht="13" x14ac:dyDescent="0.15">
      <c r="A821" s="3"/>
      <c r="B821" s="3"/>
      <c r="C821" s="3"/>
    </row>
    <row r="822" spans="1:3" ht="13" x14ac:dyDescent="0.15">
      <c r="A822" s="3"/>
      <c r="B822" s="3"/>
      <c r="C822" s="3"/>
    </row>
    <row r="823" spans="1:3" ht="13" x14ac:dyDescent="0.15">
      <c r="A823" s="3"/>
      <c r="B823" s="3"/>
      <c r="C823" s="3"/>
    </row>
    <row r="824" spans="1:3" ht="13" x14ac:dyDescent="0.15">
      <c r="A824" s="3"/>
      <c r="B824" s="3"/>
      <c r="C824" s="3"/>
    </row>
    <row r="825" spans="1:3" ht="13" x14ac:dyDescent="0.15">
      <c r="A825" s="3"/>
      <c r="B825" s="3"/>
      <c r="C825" s="3"/>
    </row>
    <row r="826" spans="1:3" ht="13" x14ac:dyDescent="0.15">
      <c r="A826" s="3"/>
      <c r="B826" s="3"/>
      <c r="C826" s="3"/>
    </row>
    <row r="827" spans="1:3" ht="13" x14ac:dyDescent="0.15">
      <c r="A827" s="3"/>
      <c r="B827" s="3"/>
      <c r="C827" s="3"/>
    </row>
    <row r="828" spans="1:3" ht="13" x14ac:dyDescent="0.15">
      <c r="A828" s="3"/>
      <c r="B828" s="3"/>
      <c r="C828" s="3"/>
    </row>
    <row r="829" spans="1:3" ht="13" x14ac:dyDescent="0.15">
      <c r="A829" s="3"/>
      <c r="B829" s="3"/>
      <c r="C829" s="3"/>
    </row>
    <row r="830" spans="1:3" ht="13" x14ac:dyDescent="0.15">
      <c r="A830" s="3"/>
      <c r="B830" s="3"/>
      <c r="C830" s="3"/>
    </row>
    <row r="831" spans="1:3" ht="13" x14ac:dyDescent="0.15">
      <c r="A831" s="3"/>
      <c r="B831" s="3"/>
      <c r="C831" s="3"/>
    </row>
    <row r="832" spans="1:3" ht="13" x14ac:dyDescent="0.15">
      <c r="A832" s="3"/>
      <c r="B832" s="3"/>
      <c r="C832" s="3"/>
    </row>
    <row r="833" spans="1:3" ht="13" x14ac:dyDescent="0.15">
      <c r="A833" s="3"/>
      <c r="B833" s="3"/>
      <c r="C833" s="3"/>
    </row>
    <row r="834" spans="1:3" ht="13" x14ac:dyDescent="0.15">
      <c r="A834" s="3"/>
      <c r="B834" s="3"/>
      <c r="C834" s="3"/>
    </row>
    <row r="835" spans="1:3" ht="13" x14ac:dyDescent="0.15">
      <c r="A835" s="3"/>
      <c r="B835" s="3"/>
      <c r="C835" s="3"/>
    </row>
    <row r="836" spans="1:3" ht="13" x14ac:dyDescent="0.15">
      <c r="A836" s="3"/>
      <c r="B836" s="3"/>
      <c r="C836" s="3"/>
    </row>
    <row r="837" spans="1:3" ht="13" x14ac:dyDescent="0.15">
      <c r="A837" s="3"/>
      <c r="B837" s="3"/>
      <c r="C837" s="3"/>
    </row>
    <row r="838" spans="1:3" ht="13" x14ac:dyDescent="0.15">
      <c r="A838" s="3"/>
      <c r="B838" s="3"/>
      <c r="C838" s="3"/>
    </row>
    <row r="839" spans="1:3" ht="13" x14ac:dyDescent="0.15">
      <c r="A839" s="3"/>
      <c r="B839" s="3"/>
      <c r="C839" s="3"/>
    </row>
    <row r="840" spans="1:3" ht="13" x14ac:dyDescent="0.15">
      <c r="A840" s="3"/>
      <c r="B840" s="3"/>
      <c r="C840" s="3"/>
    </row>
    <row r="841" spans="1:3" ht="13" x14ac:dyDescent="0.15">
      <c r="A841" s="3"/>
      <c r="B841" s="3"/>
      <c r="C841" s="3"/>
    </row>
    <row r="842" spans="1:3" ht="13" x14ac:dyDescent="0.15">
      <c r="A842" s="3"/>
      <c r="B842" s="3"/>
      <c r="C842" s="3"/>
    </row>
    <row r="843" spans="1:3" ht="13" x14ac:dyDescent="0.15">
      <c r="A843" s="3"/>
      <c r="B843" s="3"/>
      <c r="C843" s="3"/>
    </row>
    <row r="844" spans="1:3" ht="13" x14ac:dyDescent="0.15">
      <c r="A844" s="3"/>
      <c r="B844" s="3"/>
      <c r="C844" s="3"/>
    </row>
    <row r="845" spans="1:3" ht="13" x14ac:dyDescent="0.15">
      <c r="A845" s="3"/>
      <c r="B845" s="3"/>
      <c r="C845" s="3"/>
    </row>
    <row r="846" spans="1:3" ht="13" x14ac:dyDescent="0.15">
      <c r="A846" s="3"/>
      <c r="B846" s="3"/>
      <c r="C846" s="3"/>
    </row>
    <row r="847" spans="1:3" ht="13" x14ac:dyDescent="0.15">
      <c r="A847" s="3"/>
      <c r="B847" s="3"/>
      <c r="C847" s="3"/>
    </row>
    <row r="848" spans="1:3" ht="13" x14ac:dyDescent="0.15">
      <c r="A848" s="3"/>
      <c r="B848" s="3"/>
      <c r="C848" s="3"/>
    </row>
    <row r="849" spans="1:3" ht="13" x14ac:dyDescent="0.15">
      <c r="A849" s="3"/>
      <c r="B849" s="3"/>
      <c r="C849" s="3"/>
    </row>
    <row r="850" spans="1:3" ht="13" x14ac:dyDescent="0.15">
      <c r="A850" s="3"/>
      <c r="B850" s="3"/>
      <c r="C850" s="3"/>
    </row>
    <row r="851" spans="1:3" ht="13" x14ac:dyDescent="0.15">
      <c r="A851" s="3"/>
      <c r="B851" s="3"/>
      <c r="C851" s="3"/>
    </row>
    <row r="852" spans="1:3" ht="13" x14ac:dyDescent="0.15">
      <c r="A852" s="3"/>
      <c r="B852" s="3"/>
      <c r="C852" s="3"/>
    </row>
    <row r="853" spans="1:3" ht="13" x14ac:dyDescent="0.15">
      <c r="A853" s="3"/>
      <c r="B853" s="3"/>
      <c r="C853" s="3"/>
    </row>
    <row r="854" spans="1:3" ht="13" x14ac:dyDescent="0.15">
      <c r="A854" s="3"/>
      <c r="B854" s="3"/>
      <c r="C854" s="3"/>
    </row>
    <row r="855" spans="1:3" ht="13" x14ac:dyDescent="0.15">
      <c r="A855" s="3"/>
      <c r="B855" s="3"/>
      <c r="C855" s="3"/>
    </row>
    <row r="856" spans="1:3" ht="13" x14ac:dyDescent="0.15">
      <c r="A856" s="3"/>
      <c r="B856" s="3"/>
      <c r="C856" s="3"/>
    </row>
    <row r="857" spans="1:3" ht="13" x14ac:dyDescent="0.15">
      <c r="A857" s="3"/>
      <c r="B857" s="3"/>
      <c r="C857" s="3"/>
    </row>
    <row r="858" spans="1:3" ht="13" x14ac:dyDescent="0.15">
      <c r="A858" s="3"/>
      <c r="B858" s="3"/>
      <c r="C858" s="3"/>
    </row>
    <row r="859" spans="1:3" ht="13" x14ac:dyDescent="0.15">
      <c r="A859" s="3"/>
      <c r="B859" s="3"/>
      <c r="C859" s="3"/>
    </row>
    <row r="860" spans="1:3" ht="13" x14ac:dyDescent="0.15">
      <c r="A860" s="3"/>
      <c r="B860" s="3"/>
      <c r="C860" s="3"/>
    </row>
    <row r="861" spans="1:3" ht="13" x14ac:dyDescent="0.15">
      <c r="A861" s="3"/>
      <c r="B861" s="3"/>
      <c r="C861" s="3"/>
    </row>
    <row r="862" spans="1:3" ht="13" x14ac:dyDescent="0.15">
      <c r="A862" s="3"/>
      <c r="B862" s="3"/>
      <c r="C862" s="3"/>
    </row>
    <row r="863" spans="1:3" ht="13" x14ac:dyDescent="0.15">
      <c r="A863" s="3"/>
      <c r="B863" s="3"/>
      <c r="C863" s="3"/>
    </row>
    <row r="864" spans="1:3" ht="13" x14ac:dyDescent="0.15">
      <c r="A864" s="3"/>
      <c r="B864" s="3"/>
      <c r="C864" s="3"/>
    </row>
    <row r="865" spans="1:3" ht="13" x14ac:dyDescent="0.15">
      <c r="A865" s="3"/>
      <c r="B865" s="3"/>
      <c r="C865" s="3"/>
    </row>
    <row r="866" spans="1:3" ht="13" x14ac:dyDescent="0.15">
      <c r="A866" s="3"/>
      <c r="B866" s="3"/>
      <c r="C866" s="3"/>
    </row>
    <row r="867" spans="1:3" ht="13" x14ac:dyDescent="0.15">
      <c r="A867" s="3"/>
      <c r="B867" s="3"/>
      <c r="C867" s="3"/>
    </row>
    <row r="868" spans="1:3" ht="13" x14ac:dyDescent="0.15">
      <c r="A868" s="3"/>
      <c r="B868" s="3"/>
      <c r="C868" s="3"/>
    </row>
    <row r="869" spans="1:3" ht="13" x14ac:dyDescent="0.15">
      <c r="A869" s="3"/>
      <c r="B869" s="3"/>
      <c r="C869" s="3"/>
    </row>
    <row r="870" spans="1:3" ht="13" x14ac:dyDescent="0.15">
      <c r="A870" s="3"/>
      <c r="B870" s="3"/>
      <c r="C870" s="3"/>
    </row>
    <row r="871" spans="1:3" ht="13" x14ac:dyDescent="0.15">
      <c r="A871" s="3"/>
      <c r="B871" s="3"/>
      <c r="C871" s="3"/>
    </row>
    <row r="872" spans="1:3" ht="13" x14ac:dyDescent="0.15">
      <c r="A872" s="3"/>
      <c r="B872" s="3"/>
      <c r="C872" s="3"/>
    </row>
    <row r="873" spans="1:3" ht="13" x14ac:dyDescent="0.15">
      <c r="A873" s="3"/>
      <c r="B873" s="3"/>
      <c r="C873" s="3"/>
    </row>
    <row r="874" spans="1:3" ht="13" x14ac:dyDescent="0.15">
      <c r="A874" s="3"/>
      <c r="B874" s="3"/>
      <c r="C874" s="3"/>
    </row>
    <row r="875" spans="1:3" ht="13" x14ac:dyDescent="0.15">
      <c r="A875" s="3"/>
      <c r="B875" s="3"/>
      <c r="C875" s="3"/>
    </row>
    <row r="876" spans="1:3" ht="13" x14ac:dyDescent="0.15">
      <c r="A876" s="3"/>
      <c r="B876" s="3"/>
      <c r="C876" s="3"/>
    </row>
    <row r="877" spans="1:3" ht="13" x14ac:dyDescent="0.15">
      <c r="A877" s="3"/>
      <c r="B877" s="3"/>
      <c r="C877" s="3"/>
    </row>
    <row r="878" spans="1:3" ht="13" x14ac:dyDescent="0.15">
      <c r="A878" s="3"/>
      <c r="B878" s="3"/>
      <c r="C878" s="3"/>
    </row>
    <row r="879" spans="1:3" ht="13" x14ac:dyDescent="0.15">
      <c r="A879" s="3"/>
      <c r="B879" s="3"/>
      <c r="C879" s="3"/>
    </row>
    <row r="880" spans="1:3" ht="13" x14ac:dyDescent="0.15">
      <c r="A880" s="3"/>
      <c r="B880" s="3"/>
      <c r="C880" s="3"/>
    </row>
    <row r="881" spans="1:3" ht="13" x14ac:dyDescent="0.15">
      <c r="A881" s="3"/>
      <c r="B881" s="3"/>
      <c r="C881" s="3"/>
    </row>
    <row r="882" spans="1:3" ht="13" x14ac:dyDescent="0.15">
      <c r="A882" s="3"/>
      <c r="B882" s="3"/>
      <c r="C882" s="3"/>
    </row>
    <row r="883" spans="1:3" ht="13" x14ac:dyDescent="0.15">
      <c r="A883" s="3"/>
      <c r="B883" s="3"/>
      <c r="C883" s="3"/>
    </row>
    <row r="884" spans="1:3" ht="13" x14ac:dyDescent="0.15">
      <c r="A884" s="3"/>
      <c r="B884" s="3"/>
      <c r="C884" s="3"/>
    </row>
    <row r="885" spans="1:3" ht="13" x14ac:dyDescent="0.15">
      <c r="A885" s="3"/>
      <c r="B885" s="3"/>
      <c r="C885" s="3"/>
    </row>
    <row r="886" spans="1:3" ht="13" x14ac:dyDescent="0.15">
      <c r="A886" s="3"/>
      <c r="B886" s="3"/>
      <c r="C886" s="3"/>
    </row>
    <row r="887" spans="1:3" ht="13" x14ac:dyDescent="0.15">
      <c r="A887" s="3"/>
      <c r="B887" s="3"/>
      <c r="C887" s="3"/>
    </row>
    <row r="888" spans="1:3" ht="13" x14ac:dyDescent="0.15">
      <c r="A888" s="3"/>
      <c r="B888" s="3"/>
      <c r="C888" s="3"/>
    </row>
    <row r="889" spans="1:3" ht="13" x14ac:dyDescent="0.15">
      <c r="A889" s="3"/>
      <c r="B889" s="3"/>
      <c r="C889" s="3"/>
    </row>
    <row r="890" spans="1:3" ht="13" x14ac:dyDescent="0.15">
      <c r="A890" s="3"/>
      <c r="B890" s="3"/>
      <c r="C890" s="3"/>
    </row>
    <row r="891" spans="1:3" ht="13" x14ac:dyDescent="0.15">
      <c r="A891" s="3"/>
      <c r="B891" s="3"/>
      <c r="C891" s="3"/>
    </row>
    <row r="892" spans="1:3" ht="13" x14ac:dyDescent="0.15">
      <c r="A892" s="3"/>
      <c r="B892" s="3"/>
      <c r="C892" s="3"/>
    </row>
    <row r="893" spans="1:3" ht="13" x14ac:dyDescent="0.15">
      <c r="A893" s="3"/>
      <c r="B893" s="3"/>
      <c r="C893" s="3"/>
    </row>
    <row r="894" spans="1:3" ht="13" x14ac:dyDescent="0.15">
      <c r="A894" s="3"/>
      <c r="B894" s="3"/>
      <c r="C894" s="3"/>
    </row>
    <row r="895" spans="1:3" ht="13" x14ac:dyDescent="0.15">
      <c r="A895" s="3"/>
      <c r="B895" s="3"/>
      <c r="C895" s="3"/>
    </row>
    <row r="896" spans="1:3" ht="13" x14ac:dyDescent="0.15">
      <c r="A896" s="3"/>
      <c r="B896" s="3"/>
      <c r="C896" s="3"/>
    </row>
    <row r="897" spans="1:3" ht="13" x14ac:dyDescent="0.15">
      <c r="A897" s="3"/>
      <c r="B897" s="3"/>
      <c r="C897" s="3"/>
    </row>
    <row r="898" spans="1:3" ht="13" x14ac:dyDescent="0.15">
      <c r="A898" s="3"/>
      <c r="B898" s="3"/>
      <c r="C898" s="3"/>
    </row>
    <row r="899" spans="1:3" ht="13" x14ac:dyDescent="0.15">
      <c r="A899" s="3"/>
      <c r="B899" s="3"/>
      <c r="C899" s="3"/>
    </row>
    <row r="900" spans="1:3" ht="13" x14ac:dyDescent="0.15">
      <c r="A900" s="3"/>
      <c r="B900" s="3"/>
      <c r="C900" s="3"/>
    </row>
    <row r="901" spans="1:3" ht="13" x14ac:dyDescent="0.15">
      <c r="A901" s="3"/>
      <c r="B901" s="3"/>
      <c r="C901" s="3"/>
    </row>
    <row r="902" spans="1:3" ht="13" x14ac:dyDescent="0.15">
      <c r="A902" s="3"/>
      <c r="B902" s="3"/>
      <c r="C902" s="3"/>
    </row>
    <row r="903" spans="1:3" ht="13" x14ac:dyDescent="0.15">
      <c r="A903" s="3"/>
      <c r="B903" s="3"/>
      <c r="C903" s="3"/>
    </row>
    <row r="904" spans="1:3" ht="13" x14ac:dyDescent="0.15">
      <c r="A904" s="3"/>
      <c r="B904" s="3"/>
      <c r="C904" s="3"/>
    </row>
    <row r="905" spans="1:3" ht="13" x14ac:dyDescent="0.15">
      <c r="A905" s="3"/>
      <c r="B905" s="3"/>
      <c r="C905" s="3"/>
    </row>
    <row r="906" spans="1:3" ht="13" x14ac:dyDescent="0.15">
      <c r="A906" s="3"/>
      <c r="B906" s="3"/>
      <c r="C906" s="3"/>
    </row>
    <row r="907" spans="1:3" ht="13" x14ac:dyDescent="0.15">
      <c r="A907" s="3"/>
      <c r="B907" s="3"/>
      <c r="C907" s="3"/>
    </row>
    <row r="908" spans="1:3" ht="13" x14ac:dyDescent="0.15">
      <c r="A908" s="3"/>
      <c r="B908" s="3"/>
      <c r="C908" s="3"/>
    </row>
    <row r="909" spans="1:3" ht="13" x14ac:dyDescent="0.15">
      <c r="A909" s="3"/>
      <c r="B909" s="3"/>
      <c r="C909" s="3"/>
    </row>
    <row r="910" spans="1:3" ht="13" x14ac:dyDescent="0.15">
      <c r="A910" s="3"/>
      <c r="B910" s="3"/>
      <c r="C910" s="3"/>
    </row>
    <row r="911" spans="1:3" ht="13" x14ac:dyDescent="0.15">
      <c r="A911" s="3"/>
      <c r="B911" s="3"/>
      <c r="C911" s="3"/>
    </row>
    <row r="912" spans="1:3" ht="13" x14ac:dyDescent="0.15">
      <c r="A912" s="3"/>
      <c r="B912" s="3"/>
      <c r="C912" s="3"/>
    </row>
    <row r="913" spans="1:3" ht="13" x14ac:dyDescent="0.15">
      <c r="A913" s="3"/>
      <c r="B913" s="3"/>
      <c r="C913" s="3"/>
    </row>
    <row r="914" spans="1:3" ht="13" x14ac:dyDescent="0.15">
      <c r="A914" s="3"/>
      <c r="B914" s="3"/>
      <c r="C914" s="3"/>
    </row>
    <row r="915" spans="1:3" ht="13" x14ac:dyDescent="0.15">
      <c r="A915" s="3"/>
      <c r="B915" s="3"/>
      <c r="C915" s="3"/>
    </row>
    <row r="916" spans="1:3" ht="13" x14ac:dyDescent="0.15">
      <c r="A916" s="3"/>
      <c r="B916" s="3"/>
      <c r="C916" s="3"/>
    </row>
    <row r="917" spans="1:3" ht="13" x14ac:dyDescent="0.15">
      <c r="A917" s="3"/>
      <c r="B917" s="3"/>
      <c r="C917" s="3"/>
    </row>
    <row r="918" spans="1:3" ht="13" x14ac:dyDescent="0.15">
      <c r="A918" s="3"/>
      <c r="B918" s="3"/>
      <c r="C918" s="3"/>
    </row>
    <row r="919" spans="1:3" ht="13" x14ac:dyDescent="0.15">
      <c r="A919" s="3"/>
      <c r="B919" s="3"/>
      <c r="C919" s="3"/>
    </row>
    <row r="920" spans="1:3" ht="13" x14ac:dyDescent="0.15">
      <c r="A920" s="3"/>
      <c r="B920" s="3"/>
      <c r="C920" s="3"/>
    </row>
    <row r="921" spans="1:3" ht="13" x14ac:dyDescent="0.15">
      <c r="A921" s="3"/>
      <c r="B921" s="3"/>
      <c r="C921" s="3"/>
    </row>
    <row r="922" spans="1:3" ht="13" x14ac:dyDescent="0.15">
      <c r="A922" s="3"/>
      <c r="B922" s="3"/>
      <c r="C922" s="3"/>
    </row>
    <row r="923" spans="1:3" ht="13" x14ac:dyDescent="0.15">
      <c r="A923" s="3"/>
      <c r="B923" s="3"/>
      <c r="C923" s="3"/>
    </row>
    <row r="924" spans="1:3" ht="13" x14ac:dyDescent="0.15">
      <c r="A924" s="3"/>
      <c r="B924" s="3"/>
      <c r="C924" s="3"/>
    </row>
    <row r="925" spans="1:3" ht="13" x14ac:dyDescent="0.15">
      <c r="A925" s="3"/>
      <c r="B925" s="3"/>
      <c r="C925" s="3"/>
    </row>
    <row r="926" spans="1:3" ht="13" x14ac:dyDescent="0.15">
      <c r="A926" s="3"/>
      <c r="B926" s="3"/>
      <c r="C926" s="3"/>
    </row>
    <row r="927" spans="1:3" ht="13" x14ac:dyDescent="0.15">
      <c r="A927" s="3"/>
      <c r="B927" s="3"/>
      <c r="C927" s="3"/>
    </row>
    <row r="928" spans="1:3" ht="13" x14ac:dyDescent="0.15">
      <c r="A928" s="3"/>
      <c r="B928" s="3"/>
      <c r="C928" s="3"/>
    </row>
    <row r="929" spans="1:3" ht="13" x14ac:dyDescent="0.15">
      <c r="A929" s="3"/>
      <c r="B929" s="3"/>
      <c r="C929" s="3"/>
    </row>
    <row r="930" spans="1:3" ht="13" x14ac:dyDescent="0.15">
      <c r="A930" s="3"/>
      <c r="B930" s="3"/>
      <c r="C930" s="3"/>
    </row>
    <row r="931" spans="1:3" ht="13" x14ac:dyDescent="0.15">
      <c r="A931" s="3"/>
      <c r="B931" s="3"/>
      <c r="C931" s="3"/>
    </row>
    <row r="932" spans="1:3" ht="13" x14ac:dyDescent="0.15">
      <c r="A932" s="3"/>
      <c r="B932" s="3"/>
      <c r="C932" s="3"/>
    </row>
    <row r="933" spans="1:3" ht="13" x14ac:dyDescent="0.15">
      <c r="A933" s="3"/>
      <c r="B933" s="3"/>
      <c r="C933" s="3"/>
    </row>
    <row r="934" spans="1:3" ht="13" x14ac:dyDescent="0.15">
      <c r="A934" s="3"/>
      <c r="B934" s="3"/>
      <c r="C934" s="3"/>
    </row>
    <row r="935" spans="1:3" ht="13" x14ac:dyDescent="0.15">
      <c r="A935" s="3"/>
      <c r="B935" s="3"/>
      <c r="C935" s="3"/>
    </row>
    <row r="936" spans="1:3" ht="13" x14ac:dyDescent="0.15">
      <c r="A936" s="3"/>
      <c r="B936" s="3"/>
      <c r="C936" s="3"/>
    </row>
    <row r="937" spans="1:3" ht="13" x14ac:dyDescent="0.15">
      <c r="A937" s="3"/>
      <c r="B937" s="3"/>
      <c r="C937" s="3"/>
    </row>
    <row r="938" spans="1:3" ht="13" x14ac:dyDescent="0.15">
      <c r="A938" s="3"/>
      <c r="B938" s="3"/>
      <c r="C938" s="3"/>
    </row>
    <row r="939" spans="1:3" ht="13" x14ac:dyDescent="0.15">
      <c r="A939" s="3"/>
      <c r="B939" s="3"/>
      <c r="C939" s="3"/>
    </row>
    <row r="940" spans="1:3" ht="13" x14ac:dyDescent="0.15">
      <c r="A940" s="3"/>
      <c r="B940" s="3"/>
      <c r="C940" s="3"/>
    </row>
    <row r="941" spans="1:3" ht="13" x14ac:dyDescent="0.15">
      <c r="A941" s="3"/>
      <c r="B941" s="3"/>
      <c r="C941" s="3"/>
    </row>
    <row r="942" spans="1:3" ht="13" x14ac:dyDescent="0.15">
      <c r="A942" s="3"/>
      <c r="B942" s="3"/>
      <c r="C942" s="3"/>
    </row>
    <row r="943" spans="1:3" ht="13" x14ac:dyDescent="0.15">
      <c r="A943" s="3"/>
      <c r="B943" s="3"/>
      <c r="C943" s="3"/>
    </row>
    <row r="944" spans="1:3" ht="13" x14ac:dyDescent="0.15">
      <c r="A944" s="3"/>
      <c r="B944" s="3"/>
      <c r="C944" s="3"/>
    </row>
    <row r="945" spans="1:3" ht="13" x14ac:dyDescent="0.15">
      <c r="A945" s="3"/>
      <c r="B945" s="3"/>
      <c r="C945" s="3"/>
    </row>
    <row r="946" spans="1:3" ht="13" x14ac:dyDescent="0.15">
      <c r="A946" s="3"/>
      <c r="B946" s="3"/>
      <c r="C946" s="3"/>
    </row>
    <row r="947" spans="1:3" ht="13" x14ac:dyDescent="0.15">
      <c r="A947" s="3"/>
      <c r="B947" s="3"/>
      <c r="C947" s="3"/>
    </row>
    <row r="948" spans="1:3" ht="13" x14ac:dyDescent="0.15">
      <c r="A948" s="3"/>
      <c r="B948" s="3"/>
      <c r="C948" s="3"/>
    </row>
    <row r="949" spans="1:3" ht="13" x14ac:dyDescent="0.15">
      <c r="A949" s="3"/>
      <c r="B949" s="3"/>
      <c r="C949" s="3"/>
    </row>
    <row r="950" spans="1:3" ht="13" x14ac:dyDescent="0.15">
      <c r="A950" s="3"/>
      <c r="B950" s="3"/>
      <c r="C950" s="3"/>
    </row>
    <row r="951" spans="1:3" ht="13" x14ac:dyDescent="0.15">
      <c r="A951" s="3"/>
      <c r="B951" s="3"/>
      <c r="C951" s="3"/>
    </row>
    <row r="952" spans="1:3" ht="13" x14ac:dyDescent="0.15">
      <c r="A952" s="3"/>
      <c r="B952" s="3"/>
      <c r="C952" s="3"/>
    </row>
    <row r="953" spans="1:3" ht="13" x14ac:dyDescent="0.15">
      <c r="A953" s="3"/>
      <c r="B953" s="3"/>
      <c r="C953" s="3"/>
    </row>
    <row r="954" spans="1:3" ht="13" x14ac:dyDescent="0.15">
      <c r="A954" s="3"/>
      <c r="B954" s="3"/>
      <c r="C954" s="3"/>
    </row>
    <row r="955" spans="1:3" ht="13" x14ac:dyDescent="0.15">
      <c r="A955" s="3"/>
      <c r="B955" s="3"/>
      <c r="C955" s="3"/>
    </row>
    <row r="956" spans="1:3" ht="13" x14ac:dyDescent="0.15">
      <c r="A956" s="3"/>
      <c r="B956" s="3"/>
      <c r="C956" s="3"/>
    </row>
    <row r="957" spans="1:3" ht="13" x14ac:dyDescent="0.15">
      <c r="A957" s="3"/>
      <c r="B957" s="3"/>
      <c r="C957" s="3"/>
    </row>
    <row r="958" spans="1:3" ht="13" x14ac:dyDescent="0.15">
      <c r="A958" s="3"/>
      <c r="B958" s="3"/>
      <c r="C958" s="3"/>
    </row>
    <row r="959" spans="1:3" ht="13" x14ac:dyDescent="0.15">
      <c r="A959" s="3"/>
      <c r="B959" s="3"/>
      <c r="C959" s="3"/>
    </row>
    <row r="960" spans="1:3" ht="13" x14ac:dyDescent="0.15">
      <c r="A960" s="3"/>
      <c r="B960" s="3"/>
      <c r="C960" s="3"/>
    </row>
    <row r="961" spans="1:3" ht="13" x14ac:dyDescent="0.15">
      <c r="A961" s="3"/>
      <c r="B961" s="3"/>
      <c r="C961" s="3"/>
    </row>
    <row r="962" spans="1:3" ht="13" x14ac:dyDescent="0.15">
      <c r="A962" s="3"/>
      <c r="B962" s="3"/>
      <c r="C962" s="3"/>
    </row>
    <row r="963" spans="1:3" ht="13" x14ac:dyDescent="0.15">
      <c r="A963" s="3"/>
      <c r="B963" s="3"/>
      <c r="C963" s="3"/>
    </row>
    <row r="964" spans="1:3" ht="13" x14ac:dyDescent="0.15">
      <c r="A964" s="3"/>
      <c r="B964" s="3"/>
      <c r="C964" s="3"/>
    </row>
    <row r="965" spans="1:3" ht="13" x14ac:dyDescent="0.15">
      <c r="A965" s="3"/>
      <c r="B965" s="3"/>
      <c r="C965" s="3"/>
    </row>
    <row r="966" spans="1:3" ht="13" x14ac:dyDescent="0.15">
      <c r="A966" s="3"/>
      <c r="B966" s="3"/>
      <c r="C966" s="3"/>
    </row>
    <row r="967" spans="1:3" ht="13" x14ac:dyDescent="0.15">
      <c r="A967" s="3"/>
      <c r="B967" s="3"/>
      <c r="C967" s="3"/>
    </row>
    <row r="968" spans="1:3" ht="13" x14ac:dyDescent="0.15">
      <c r="A968" s="3"/>
      <c r="B968" s="3"/>
      <c r="C968" s="3"/>
    </row>
    <row r="969" spans="1:3" ht="13" x14ac:dyDescent="0.15">
      <c r="A969" s="3"/>
      <c r="B969" s="3"/>
      <c r="C969" s="3"/>
    </row>
    <row r="970" spans="1:3" ht="13" x14ac:dyDescent="0.15">
      <c r="A970" s="3"/>
      <c r="B970" s="3"/>
      <c r="C970" s="3"/>
    </row>
    <row r="971" spans="1:3" ht="13" x14ac:dyDescent="0.15">
      <c r="A971" s="3"/>
      <c r="B971" s="3"/>
      <c r="C971" s="3"/>
    </row>
    <row r="972" spans="1:3" ht="13" x14ac:dyDescent="0.15">
      <c r="A972" s="3"/>
      <c r="B972" s="3"/>
      <c r="C972" s="3"/>
    </row>
    <row r="973" spans="1:3" ht="13" x14ac:dyDescent="0.15">
      <c r="A973" s="3"/>
      <c r="B973" s="3"/>
      <c r="C973" s="3"/>
    </row>
    <row r="974" spans="1:3" ht="13" x14ac:dyDescent="0.15">
      <c r="A974" s="3"/>
      <c r="B974" s="3"/>
      <c r="C974" s="3"/>
    </row>
    <row r="975" spans="1:3" ht="13" x14ac:dyDescent="0.15">
      <c r="A975" s="3"/>
      <c r="B975" s="3"/>
      <c r="C975" s="3"/>
    </row>
    <row r="976" spans="1:3" ht="13" x14ac:dyDescent="0.15">
      <c r="A976" s="3"/>
      <c r="B976" s="3"/>
      <c r="C976" s="3"/>
    </row>
    <row r="977" spans="1:3" ht="13" x14ac:dyDescent="0.15">
      <c r="A977" s="3"/>
      <c r="B977" s="3"/>
      <c r="C977" s="3"/>
    </row>
    <row r="978" spans="1:3" ht="13" x14ac:dyDescent="0.15">
      <c r="A978" s="3"/>
      <c r="B978" s="3"/>
      <c r="C978" s="3"/>
    </row>
    <row r="979" spans="1:3" ht="13" x14ac:dyDescent="0.15">
      <c r="A979" s="3"/>
      <c r="B979" s="3"/>
      <c r="C979" s="3"/>
    </row>
    <row r="980" spans="1:3" ht="13" x14ac:dyDescent="0.15">
      <c r="A980" s="3"/>
      <c r="B980" s="3"/>
      <c r="C980" s="3"/>
    </row>
    <row r="981" spans="1:3" ht="13" x14ac:dyDescent="0.15">
      <c r="A981" s="3"/>
      <c r="B981" s="3"/>
      <c r="C981" s="3"/>
    </row>
    <row r="982" spans="1:3" ht="13" x14ac:dyDescent="0.15">
      <c r="A982" s="3"/>
      <c r="B982" s="3"/>
      <c r="C982" s="3"/>
    </row>
    <row r="983" spans="1:3" ht="13" x14ac:dyDescent="0.15">
      <c r="A983" s="3"/>
      <c r="B983" s="3"/>
      <c r="C983" s="3"/>
    </row>
    <row r="984" spans="1:3" ht="13" x14ac:dyDescent="0.15">
      <c r="A984" s="3"/>
      <c r="B984" s="3"/>
      <c r="C984" s="3"/>
    </row>
    <row r="985" spans="1:3" ht="13" x14ac:dyDescent="0.15">
      <c r="A985" s="3"/>
      <c r="B985" s="3"/>
      <c r="C985" s="3"/>
    </row>
    <row r="986" spans="1:3" ht="13" x14ac:dyDescent="0.15">
      <c r="A986" s="3"/>
      <c r="B986" s="3"/>
      <c r="C986" s="3"/>
    </row>
    <row r="987" spans="1:3" ht="13" x14ac:dyDescent="0.15">
      <c r="A987" s="3"/>
      <c r="B987" s="3"/>
      <c r="C987" s="3"/>
    </row>
    <row r="988" spans="1:3" ht="13" x14ac:dyDescent="0.15">
      <c r="A988" s="3"/>
      <c r="B988" s="3"/>
      <c r="C988" s="3"/>
    </row>
    <row r="989" spans="1:3" ht="13" x14ac:dyDescent="0.15">
      <c r="A989" s="3"/>
      <c r="B989" s="3"/>
      <c r="C989" s="3"/>
    </row>
    <row r="990" spans="1:3" ht="13" x14ac:dyDescent="0.15">
      <c r="A990" s="3"/>
      <c r="B990" s="3"/>
      <c r="C990" s="3"/>
    </row>
    <row r="991" spans="1:3" ht="13" x14ac:dyDescent="0.15">
      <c r="A991" s="3"/>
      <c r="B991" s="3"/>
      <c r="C991" s="3"/>
    </row>
    <row r="992" spans="1:3" ht="13" x14ac:dyDescent="0.15">
      <c r="A992" s="3"/>
      <c r="B992" s="3"/>
      <c r="C992" s="3"/>
    </row>
    <row r="993" spans="1:3" ht="13" x14ac:dyDescent="0.15">
      <c r="A993" s="3"/>
      <c r="B993" s="3"/>
      <c r="C993" s="3"/>
    </row>
    <row r="994" spans="1:3" ht="13" x14ac:dyDescent="0.15">
      <c r="A994" s="3"/>
      <c r="B994" s="3"/>
      <c r="C994" s="3"/>
    </row>
    <row r="995" spans="1:3" ht="13" x14ac:dyDescent="0.15">
      <c r="A995" s="3"/>
      <c r="B995" s="3"/>
      <c r="C995" s="3"/>
    </row>
    <row r="996" spans="1:3" ht="13" x14ac:dyDescent="0.15">
      <c r="A996" s="3"/>
      <c r="B996" s="3"/>
      <c r="C996" s="3"/>
    </row>
    <row r="997" spans="1:3" ht="13" x14ac:dyDescent="0.15">
      <c r="A997" s="3"/>
      <c r="B997" s="3"/>
      <c r="C997" s="3"/>
    </row>
    <row r="998" spans="1:3" ht="13" x14ac:dyDescent="0.15">
      <c r="A998" s="3"/>
      <c r="B998" s="3"/>
      <c r="C998" s="3"/>
    </row>
    <row r="999" spans="1:3" ht="13" x14ac:dyDescent="0.15">
      <c r="A999" s="3"/>
      <c r="B999" s="3"/>
      <c r="C999" s="3"/>
    </row>
    <row r="1000" spans="1:3" ht="13" x14ac:dyDescent="0.15">
      <c r="A1000" s="3"/>
      <c r="B1000" s="3"/>
      <c r="C1000" s="3"/>
    </row>
    <row r="1001" spans="1:3" ht="13" x14ac:dyDescent="0.15">
      <c r="A1001" s="3"/>
      <c r="B1001" s="3"/>
      <c r="C1001" s="3"/>
    </row>
    <row r="1002" spans="1:3" ht="13" x14ac:dyDescent="0.15">
      <c r="A1002" s="3"/>
      <c r="B1002" s="3"/>
      <c r="C1002" s="3"/>
    </row>
    <row r="1003" spans="1:3" ht="13" x14ac:dyDescent="0.15">
      <c r="A1003" s="3"/>
      <c r="B1003" s="3"/>
      <c r="C1003" s="3"/>
    </row>
    <row r="1004" spans="1:3" ht="13" x14ac:dyDescent="0.15">
      <c r="A1004" s="3"/>
      <c r="B1004" s="3"/>
      <c r="C1004" s="3"/>
    </row>
    <row r="1005" spans="1:3" ht="13" x14ac:dyDescent="0.15">
      <c r="A1005" s="3"/>
      <c r="B1005" s="3"/>
      <c r="C1005" s="3"/>
    </row>
    <row r="1006" spans="1:3" ht="13" x14ac:dyDescent="0.15">
      <c r="A1006" s="3"/>
      <c r="B1006" s="3"/>
      <c r="C1006" s="3"/>
    </row>
    <row r="1007" spans="1:3" ht="13" x14ac:dyDescent="0.15">
      <c r="A1007" s="3"/>
      <c r="B1007" s="3"/>
      <c r="C1007" s="3"/>
    </row>
    <row r="1008" spans="1:3" ht="13" x14ac:dyDescent="0.15">
      <c r="A1008" s="3"/>
      <c r="B1008" s="3"/>
      <c r="C1008" s="3"/>
    </row>
    <row r="1009" spans="1:3" ht="13" x14ac:dyDescent="0.15">
      <c r="A1009" s="3"/>
      <c r="B1009" s="3"/>
      <c r="C1009" s="3"/>
    </row>
    <row r="1010" spans="1:3" ht="13" x14ac:dyDescent="0.15">
      <c r="A1010" s="3"/>
      <c r="B1010" s="3"/>
      <c r="C1010" s="3"/>
    </row>
    <row r="1011" spans="1:3" ht="13" x14ac:dyDescent="0.15">
      <c r="A1011" s="3"/>
      <c r="B1011" s="3"/>
      <c r="C1011" s="3"/>
    </row>
    <row r="1012" spans="1:3" ht="13" x14ac:dyDescent="0.15">
      <c r="A1012" s="3"/>
      <c r="B1012" s="3"/>
      <c r="C1012" s="3"/>
    </row>
    <row r="1013" spans="1:3" ht="13" x14ac:dyDescent="0.15">
      <c r="A1013" s="3"/>
      <c r="B1013" s="3"/>
      <c r="C1013" s="3"/>
    </row>
    <row r="1014" spans="1:3" ht="13" x14ac:dyDescent="0.15">
      <c r="A1014" s="3"/>
      <c r="B1014" s="3"/>
      <c r="C1014" s="3"/>
    </row>
    <row r="1015" spans="1:3" ht="13" x14ac:dyDescent="0.15">
      <c r="A1015" s="3"/>
      <c r="B1015" s="3"/>
      <c r="C1015" s="3"/>
    </row>
    <row r="1016" spans="1:3" ht="13" x14ac:dyDescent="0.15">
      <c r="A1016" s="3"/>
      <c r="B1016" s="3"/>
      <c r="C1016" s="3"/>
    </row>
    <row r="1017" spans="1:3" ht="13" x14ac:dyDescent="0.15">
      <c r="A1017" s="3"/>
      <c r="B1017" s="3"/>
      <c r="C1017" s="3"/>
    </row>
    <row r="1018" spans="1:3" ht="13" x14ac:dyDescent="0.15">
      <c r="A1018" s="3"/>
      <c r="B1018" s="3"/>
      <c r="C1018" s="3"/>
    </row>
    <row r="1019" spans="1:3" ht="13" x14ac:dyDescent="0.15">
      <c r="A1019" s="3"/>
      <c r="B1019" s="3"/>
      <c r="C1019" s="3"/>
    </row>
    <row r="1020" spans="1:3" ht="13" x14ac:dyDescent="0.15">
      <c r="A1020" s="3"/>
      <c r="B1020" s="3"/>
      <c r="C1020" s="3"/>
    </row>
    <row r="1021" spans="1:3" ht="13" x14ac:dyDescent="0.15">
      <c r="A1021" s="3"/>
      <c r="B1021" s="3"/>
      <c r="C1021" s="3"/>
    </row>
    <row r="1022" spans="1:3" ht="13" x14ac:dyDescent="0.15">
      <c r="A1022" s="3"/>
      <c r="B1022" s="3"/>
      <c r="C1022" s="3"/>
    </row>
    <row r="1023" spans="1:3" ht="13" x14ac:dyDescent="0.15">
      <c r="A1023" s="3"/>
      <c r="B1023" s="3"/>
      <c r="C1023" s="3"/>
    </row>
    <row r="1024" spans="1:3" ht="13" x14ac:dyDescent="0.15">
      <c r="A1024" s="3"/>
      <c r="B1024" s="3"/>
      <c r="C1024" s="3"/>
    </row>
    <row r="1025" spans="1:3" ht="13" x14ac:dyDescent="0.15">
      <c r="A1025" s="3"/>
      <c r="B1025" s="3"/>
      <c r="C1025" s="3"/>
    </row>
  </sheetData>
  <hyperlinks>
    <hyperlink ref="D10" location="null!A1" display="Language Items" xr:uid="{00000000-0004-0000-0100-000000000000}"/>
    <hyperlink ref="D15" location="null!A1" display="Country Items" xr:uid="{00000000-0004-0000-0100-000001000000}"/>
    <hyperlink ref="D16" location="null!A1" display="State Items" xr:uid="{00000000-0004-0000-0100-000002000000}"/>
    <hyperlink ref="D19" location="'HCP Type Items'!A1" display="Type Items" xr:uid="{00000000-0004-0000-0100-000003000000}"/>
    <hyperlink ref="D21" location="'Specialty Items'!A1" display="Specialty Items" xr:uid="{00000000-0004-0000-0100-000004000000}"/>
    <hyperlink ref="D22" location="'Specialty Items'!A1" display="Specialty Items" xr:uid="{00000000-0004-0000-0100-000005000000}"/>
    <hyperlink ref="D23" location="'Specialty Group Items'!A1" display="Specialty Group Items" xr:uid="{00000000-0004-0000-0100-000006000000}"/>
    <hyperlink ref="D24" location="'Specialty Group Items'!A1" display="Specialty Group Items" xr:uid="{00000000-0004-0000-0100-000007000000}"/>
    <hyperlink ref="D26" location="'Medical Degree Items'!A1" display="Medical Degree Items" xr:uid="{00000000-0004-0000-0100-000008000000}"/>
    <hyperlink ref="D27" location="'Medical Degree Items'!A1" display="Medical Degree Items" xr:uid="{00000000-0004-0000-0100-000009000000}"/>
    <hyperlink ref="D28" location="'HCP Status Items'!A1" display="HCP Status Items" xr:uid="{00000000-0004-0000-0100-00000A000000}"/>
    <hyperlink ref="D29" location="'Level Items'!A1" display="Level Items" xr:uid="{00000000-0004-0000-0100-00000B000000}"/>
    <hyperlink ref="D30" location="'Adopter Type Items'!A1" display="Adopter Type Items" xr:uid="{00000000-0004-0000-0100-00000C000000}"/>
    <hyperlink ref="D44" location="null!A1" display="Country Items" xr:uid="{00000000-0004-0000-0100-00000D000000}"/>
    <hyperlink ref="D45" location="null!A1" display="State Items" xr:uid="{00000000-0004-0000-0100-00000E000000}"/>
    <hyperlink ref="D52" location="'Address Status Items'!A1" display="Address Status Items" xr:uid="{00000000-0004-0000-0100-00000F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85"/>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29</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IFERROR(__xludf.DUMMYFUNCTION("IMPORTRANGE(""https://docs.google.com/spreadsheets/d/1C7ebseLw3CypDIkJDJaWHHfWiV3njB56moaBb7gLWo8/edit#gid=0"",""HCP Type Items!A4:A"")"),"Office Staff")</f>
        <v>Office Staff</v>
      </c>
      <c r="B4" s="3" t="str">
        <f ca="1">IFERROR(__xludf.DUMMYFUNCTION("IMPORTRANGE(""https://docs.google.com/spreadsheets/d/1C7ebseLw3CypDIkJDJaWHHfWiV3njB56moaBb7gLWo8/edit#gid=0"",""HCP Type Items!B4:B"")"),"STAF")</f>
        <v>STAF</v>
      </c>
      <c r="C4" s="3" t="str">
        <f ca="1">IFERROR(__xludf.DUMMYFUNCTION("GOOGLETRANSLATE($A4,""en"",""de"")"),"Büropersonal")</f>
        <v>Büropersonal</v>
      </c>
      <c r="D4" s="3" t="str">
        <f ca="1">IFERROR(__xludf.DUMMYFUNCTION("GOOGLETRANSLATE($A4,""en"",""fr"")"),"Le personnel de bureau")</f>
        <v>Le personnel de bureau</v>
      </c>
      <c r="E4" s="3" t="str">
        <f ca="1">IFERROR(__xludf.DUMMYFUNCTION("GOOGLETRANSLATE($A4,""en"",""es"")"),"Personal de oficina")</f>
        <v>Personal de oficina</v>
      </c>
      <c r="F4" s="3" t="str">
        <f ca="1">IFERROR(__xludf.DUMMYFUNCTION("GOOGLETRANSLATE($A4,""en"",""it"")"),"Personale dell'ufficio")</f>
        <v>Personale dell'ufficio</v>
      </c>
      <c r="G4" s="3" t="str">
        <f ca="1">IFERROR(__xludf.DUMMYFUNCTION("GOOGLETRANSLATE($A4,""en"",""zh-cn"")"),"办公室职员")</f>
        <v>办公室职员</v>
      </c>
      <c r="H4" s="3" t="str">
        <f ca="1">IFERROR(__xludf.DUMMYFUNCTION("GOOGLETRANSLATE($A4,""en"",""ja"")"),"オフィススタッフ")</f>
        <v>オフィススタッフ</v>
      </c>
      <c r="I4" s="3" t="str">
        <f ca="1">IFERROR(__xludf.DUMMYFUNCTION("GOOGLETRANSLATE($A4,""en"",""ko"")"),"사무 직원")</f>
        <v>사무 직원</v>
      </c>
      <c r="J4" s="3" t="str">
        <f ca="1">IFERROR(__xludf.DUMMYFUNCTION("GOOGLETRANSLATE($A4,""en"",""pt-BR"")"),"Equipe do escritório")</f>
        <v>Equipe do escritório</v>
      </c>
      <c r="K4" s="8"/>
      <c r="L4" s="3"/>
      <c r="M4" s="3"/>
      <c r="N4" s="8"/>
      <c r="O4" s="3"/>
      <c r="P4" s="3"/>
      <c r="Q4" s="8"/>
      <c r="R4" s="3"/>
      <c r="S4" s="3"/>
      <c r="T4" s="8"/>
      <c r="U4" s="3"/>
      <c r="V4" s="3"/>
      <c r="W4" s="8"/>
    </row>
    <row r="5" spans="1:26" ht="15.75" customHeight="1" x14ac:dyDescent="0.15">
      <c r="A5" s="9" t="str">
        <f ca="1">IFERROR(__xludf.DUMMYFUNCTION("""COMPUTED_VALUE"""),"Pharmacist")</f>
        <v>Pharmacist</v>
      </c>
      <c r="B5" s="9" t="str">
        <f ca="1">IFERROR(__xludf.DUMMYFUNCTION("""COMPUTED_VALUE"""),"PHAR")</f>
        <v>PHAR</v>
      </c>
      <c r="C5" s="3" t="str">
        <f ca="1">IFERROR(__xludf.DUMMYFUNCTION("GOOGLETRANSLATE($A5,""en"",""de"")"),"Apotheker")</f>
        <v>Apotheker</v>
      </c>
      <c r="D5" s="3" t="str">
        <f ca="1">IFERROR(__xludf.DUMMYFUNCTION("GOOGLETRANSLATE($A5,""en"",""fr"")"),"Pharmacien")</f>
        <v>Pharmacien</v>
      </c>
      <c r="E5" s="3" t="str">
        <f ca="1">IFERROR(__xludf.DUMMYFUNCTION("GOOGLETRANSLATE($A5,""en"",""es"")"),"Farmacéutico")</f>
        <v>Farmacéutico</v>
      </c>
      <c r="F5" s="3" t="str">
        <f ca="1">IFERROR(__xludf.DUMMYFUNCTION("GOOGLETRANSLATE($A5,""en"",""it"")"),"Farmacista")</f>
        <v>Farmacista</v>
      </c>
      <c r="G5" s="3" t="str">
        <f ca="1">IFERROR(__xludf.DUMMYFUNCTION("GOOGLETRANSLATE($A5,""en"",""zh-cn"")"),"药剂师")</f>
        <v>药剂师</v>
      </c>
      <c r="H5" s="3" t="str">
        <f ca="1">IFERROR(__xludf.DUMMYFUNCTION("GOOGLETRANSLATE($A5,""en"",""ja"")"),"薬剤師")</f>
        <v>薬剤師</v>
      </c>
      <c r="I5" s="3" t="str">
        <f ca="1">IFERROR(__xludf.DUMMYFUNCTION("GOOGLETRANSLATE($A5,""en"",""ko"")"),"제약사")</f>
        <v>제약사</v>
      </c>
      <c r="J5" s="3" t="str">
        <f ca="1">IFERROR(__xludf.DUMMYFUNCTION("GOOGLETRANSLATE($A5,""en"",""pt-BR"")"),"Farmacêutico")</f>
        <v>Farmacêutico</v>
      </c>
    </row>
    <row r="6" spans="1:26" ht="15.75" customHeight="1" x14ac:dyDescent="0.15">
      <c r="A6" s="9" t="str">
        <f ca="1">IFERROR(__xludf.DUMMYFUNCTION("""COMPUTED_VALUE"""),"Executive")</f>
        <v>Executive</v>
      </c>
      <c r="B6" s="9" t="str">
        <f ca="1">IFERROR(__xludf.DUMMYFUNCTION("""COMPUTED_VALUE"""),"EXEC")</f>
        <v>EXEC</v>
      </c>
      <c r="C6" s="3" t="str">
        <f ca="1">IFERROR(__xludf.DUMMYFUNCTION("GOOGLETRANSLATE($A6,""en"",""de"")"),"Exekutive")</f>
        <v>Exekutive</v>
      </c>
      <c r="D6" s="3" t="str">
        <f ca="1">IFERROR(__xludf.DUMMYFUNCTION("GOOGLETRANSLATE($A6,""en"",""fr"")"),"Exécutif")</f>
        <v>Exécutif</v>
      </c>
      <c r="E6" s="3" t="str">
        <f ca="1">IFERROR(__xludf.DUMMYFUNCTION("GOOGLETRANSLATE($A6,""en"",""es"")"),"Ejecutivo")</f>
        <v>Ejecutivo</v>
      </c>
      <c r="F6" s="3" t="str">
        <f ca="1">IFERROR(__xludf.DUMMYFUNCTION("GOOGLETRANSLATE($A6,""en"",""it"")"),"Esecutivo")</f>
        <v>Esecutivo</v>
      </c>
      <c r="G6" s="3" t="str">
        <f ca="1">IFERROR(__xludf.DUMMYFUNCTION("GOOGLETRANSLATE($A6,""en"",""zh-cn"")"),"管理人员")</f>
        <v>管理人员</v>
      </c>
      <c r="H6" s="3" t="str">
        <f ca="1">IFERROR(__xludf.DUMMYFUNCTION("GOOGLETRANSLATE($A6,""en"",""ja"")"),"エグゼクティブ")</f>
        <v>エグゼクティブ</v>
      </c>
      <c r="I6" s="3" t="str">
        <f ca="1">IFERROR(__xludf.DUMMYFUNCTION("GOOGLETRANSLATE($A6,""en"",""ko"")"),"경영진")</f>
        <v>경영진</v>
      </c>
      <c r="J6" s="3" t="str">
        <f ca="1">IFERROR(__xludf.DUMMYFUNCTION("GOOGLETRANSLATE($A6,""en"",""pt-BR"")"),"Executivo")</f>
        <v>Executivo</v>
      </c>
    </row>
    <row r="7" spans="1:26" ht="15.75" customHeight="1" x14ac:dyDescent="0.15">
      <c r="A7" s="9" t="str">
        <f ca="1">IFERROR(__xludf.DUMMYFUNCTION("""COMPUTED_VALUE"""),"Nurse")</f>
        <v>Nurse</v>
      </c>
      <c r="B7" s="9" t="str">
        <f ca="1">IFERROR(__xludf.DUMMYFUNCTION("""COMPUTED_VALUE"""),"NURS")</f>
        <v>NURS</v>
      </c>
      <c r="C7" s="3" t="str">
        <f ca="1">IFERROR(__xludf.DUMMYFUNCTION("GOOGLETRANSLATE($A7,""en"",""de"")"),"Krankenschwester")</f>
        <v>Krankenschwester</v>
      </c>
      <c r="D7" s="3" t="str">
        <f ca="1">IFERROR(__xludf.DUMMYFUNCTION("GOOGLETRANSLATE($A7,""en"",""fr"")"),"Infirmière")</f>
        <v>Infirmière</v>
      </c>
      <c r="E7" s="3" t="str">
        <f ca="1">IFERROR(__xludf.DUMMYFUNCTION("GOOGLETRANSLATE($A7,""en"",""es"")"),"Enfermero")</f>
        <v>Enfermero</v>
      </c>
      <c r="F7" s="3" t="str">
        <f ca="1">IFERROR(__xludf.DUMMYFUNCTION("GOOGLETRANSLATE($A7,""en"",""it"")"),"Infermiera")</f>
        <v>Infermiera</v>
      </c>
      <c r="G7" s="3" t="str">
        <f ca="1">IFERROR(__xludf.DUMMYFUNCTION("GOOGLETRANSLATE($A7,""en"",""zh-cn"")"),"护士")</f>
        <v>护士</v>
      </c>
      <c r="H7" s="3" t="str">
        <f ca="1">IFERROR(__xludf.DUMMYFUNCTION("GOOGLETRANSLATE($A7,""en"",""ja"")"),"看護師")</f>
        <v>看護師</v>
      </c>
      <c r="I7" s="3" t="str">
        <f ca="1">IFERROR(__xludf.DUMMYFUNCTION("GOOGLETRANSLATE($A7,""en"",""ko"")"),"간호사")</f>
        <v>간호사</v>
      </c>
      <c r="J7" s="3" t="str">
        <f ca="1">IFERROR(__xludf.DUMMYFUNCTION("GOOGLETRANSLATE($A7,""en"",""pt-BR"")"),"Enfermeira")</f>
        <v>Enfermeira</v>
      </c>
    </row>
    <row r="8" spans="1:26" ht="15.75" customHeight="1" x14ac:dyDescent="0.15">
      <c r="A8" s="9" t="str">
        <f ca="1">IFERROR(__xludf.DUMMYFUNCTION("""COMPUTED_VALUE"""),"Physician")</f>
        <v>Physician</v>
      </c>
      <c r="B8" s="9" t="str">
        <f ca="1">IFERROR(__xludf.DUMMYFUNCTION("""COMPUTED_VALUE"""),"PHYS")</f>
        <v>PHYS</v>
      </c>
      <c r="C8" s="3" t="str">
        <f ca="1">IFERROR(__xludf.DUMMYFUNCTION("GOOGLETRANSLATE($A8,""en"",""de"")"),"Arzt")</f>
        <v>Arzt</v>
      </c>
      <c r="D8" s="3" t="str">
        <f ca="1">IFERROR(__xludf.DUMMYFUNCTION("GOOGLETRANSLATE($A8,""en"",""fr"")"),"Médecin")</f>
        <v>Médecin</v>
      </c>
      <c r="E8" s="3" t="str">
        <f ca="1">IFERROR(__xludf.DUMMYFUNCTION("GOOGLETRANSLATE($A8,""en"",""es"")"),"Médico")</f>
        <v>Médico</v>
      </c>
      <c r="F8" s="3" t="str">
        <f ca="1">IFERROR(__xludf.DUMMYFUNCTION("GOOGLETRANSLATE($A8,""en"",""it"")"),"Medico")</f>
        <v>Medico</v>
      </c>
      <c r="G8" s="3" t="str">
        <f ca="1">IFERROR(__xludf.DUMMYFUNCTION("GOOGLETRANSLATE($A8,""en"",""zh-cn"")"),"医师")</f>
        <v>医师</v>
      </c>
      <c r="H8" s="3" t="str">
        <f ca="1">IFERROR(__xludf.DUMMYFUNCTION("GOOGLETRANSLATE($A8,""en"",""ja"")"),"医師")</f>
        <v>医師</v>
      </c>
      <c r="I8" s="3" t="str">
        <f ca="1">IFERROR(__xludf.DUMMYFUNCTION("GOOGLETRANSLATE($A8,""en"",""ko"")"),"내과 의사")</f>
        <v>내과 의사</v>
      </c>
      <c r="J8" s="3" t="str">
        <f ca="1">IFERROR(__xludf.DUMMYFUNCTION("GOOGLETRANSLATE($A8,""en"",""pt-BR"")"),"Médico")</f>
        <v>Médico</v>
      </c>
    </row>
    <row r="9" spans="1:26" ht="15.75" customHeight="1" x14ac:dyDescent="0.15">
      <c r="A9" s="9" t="str">
        <f ca="1">IFERROR(__xludf.DUMMYFUNCTION("""COMPUTED_VALUE"""),"Caregiver")</f>
        <v>Caregiver</v>
      </c>
      <c r="B9" s="9" t="str">
        <f ca="1">IFERROR(__xludf.DUMMYFUNCTION("""COMPUTED_VALUE"""),"CARE")</f>
        <v>CARE</v>
      </c>
      <c r="C9" s="3" t="str">
        <f ca="1">IFERROR(__xludf.DUMMYFUNCTION("GOOGLETRANSLATE($A9,""en"",""de"")"),"Betreuer")</f>
        <v>Betreuer</v>
      </c>
      <c r="D9" s="3" t="str">
        <f ca="1">IFERROR(__xludf.DUMMYFUNCTION("GOOGLETRANSLATE($A9,""en"",""fr"")"),"Soignant")</f>
        <v>Soignant</v>
      </c>
      <c r="E9" s="3" t="str">
        <f ca="1">IFERROR(__xludf.DUMMYFUNCTION("GOOGLETRANSLATE($A9,""en"",""es"")"),"cuidador")</f>
        <v>cuidador</v>
      </c>
      <c r="F9" s="3" t="str">
        <f ca="1">IFERROR(__xludf.DUMMYFUNCTION("GOOGLETRANSLATE($A9,""en"",""it"")"),"Caregiver")</f>
        <v>Caregiver</v>
      </c>
      <c r="G9" s="3" t="str">
        <f ca="1">IFERROR(__xludf.DUMMYFUNCTION("GOOGLETRANSLATE($A9,""en"",""zh-cn"")"),"看护者")</f>
        <v>看护者</v>
      </c>
      <c r="H9" s="3" t="str">
        <f ca="1">IFERROR(__xludf.DUMMYFUNCTION("GOOGLETRANSLATE($A9,""en"",""ja"")"),"介護者")</f>
        <v>介護者</v>
      </c>
      <c r="I9" s="3" t="str">
        <f ca="1">IFERROR(__xludf.DUMMYFUNCTION("GOOGLETRANSLATE($A9,""en"",""ko"")"),"간병인")</f>
        <v>간병인</v>
      </c>
      <c r="J9" s="3" t="str">
        <f ca="1">IFERROR(__xludf.DUMMYFUNCTION("GOOGLETRANSLATE($A9,""en"",""pt-BR"")"),"Cuidador")</f>
        <v>Cuidador</v>
      </c>
    </row>
    <row r="10" spans="1:26" ht="15.75" customHeight="1" x14ac:dyDescent="0.15">
      <c r="A10" s="9" t="str">
        <f ca="1">IFERROR(__xludf.DUMMYFUNCTION("""COMPUTED_VALUE"""),"Other")</f>
        <v>Other</v>
      </c>
      <c r="B10" s="9" t="str">
        <f ca="1">IFERROR(__xludf.DUMMYFUNCTION("""COMPUTED_VALUE"""),"OTHR")</f>
        <v>OTHR</v>
      </c>
      <c r="C10" s="3" t="str">
        <f ca="1">IFERROR(__xludf.DUMMYFUNCTION("GOOGLETRANSLATE($A10,""en"",""de"")"),"Andere")</f>
        <v>Andere</v>
      </c>
      <c r="D10" s="3" t="str">
        <f ca="1">IFERROR(__xludf.DUMMYFUNCTION("GOOGLETRANSLATE($A10,""en"",""fr"")"),"Autre")</f>
        <v>Autre</v>
      </c>
      <c r="E10" s="3" t="str">
        <f ca="1">IFERROR(__xludf.DUMMYFUNCTION("GOOGLETRANSLATE($A10,""en"",""es"")"),"Otro")</f>
        <v>Otro</v>
      </c>
      <c r="F10" s="3" t="str">
        <f ca="1">IFERROR(__xludf.DUMMYFUNCTION("GOOGLETRANSLATE($A10,""en"",""it"")"),"Altro")</f>
        <v>Altro</v>
      </c>
      <c r="G10" s="3" t="str">
        <f ca="1">IFERROR(__xludf.DUMMYFUNCTION("GOOGLETRANSLATE($A10,""en"",""zh-cn"")"),"其他")</f>
        <v>其他</v>
      </c>
      <c r="H10" s="3" t="str">
        <f ca="1">IFERROR(__xludf.DUMMYFUNCTION("GOOGLETRANSLATE($A10,""en"",""ja"")"),"他の")</f>
        <v>他の</v>
      </c>
      <c r="I10" s="3" t="str">
        <f ca="1">IFERROR(__xludf.DUMMYFUNCTION("GOOGLETRANSLATE($A10,""en"",""ko"")"),"다른")</f>
        <v>다른</v>
      </c>
      <c r="J10" s="3" t="str">
        <f ca="1">IFERROR(__xludf.DUMMYFUNCTION("GOOGLETRANSLATE($A10,""en"",""pt-BR"")"),"Outro")</f>
        <v>Outro</v>
      </c>
    </row>
    <row r="11" spans="1:26" ht="15.75" customHeight="1" x14ac:dyDescent="0.15">
      <c r="A11" s="3"/>
      <c r="B11" s="3"/>
    </row>
    <row r="12" spans="1:26" ht="15.75" customHeight="1" x14ac:dyDescent="0.15">
      <c r="A12" s="3"/>
      <c r="B12" s="3"/>
    </row>
    <row r="13" spans="1:26" ht="15.75" customHeight="1" x14ac:dyDescent="0.15">
      <c r="A13" s="3"/>
      <c r="B13" s="3"/>
    </row>
    <row r="14" spans="1:26" ht="15.75" customHeight="1" x14ac:dyDescent="0.15">
      <c r="A14" s="3"/>
      <c r="B14" s="3"/>
    </row>
    <row r="15" spans="1:26" ht="15.75" customHeight="1" x14ac:dyDescent="0.15">
      <c r="A15" s="3"/>
      <c r="B15" s="3"/>
    </row>
    <row r="16" spans="1:26" ht="15.75" customHeight="1" x14ac:dyDescent="0.15">
      <c r="A16" s="3"/>
      <c r="B16" s="3"/>
    </row>
    <row r="17" spans="1:2" ht="15.75" customHeight="1" x14ac:dyDescent="0.15">
      <c r="A17" s="3"/>
      <c r="B17" s="3"/>
    </row>
    <row r="18" spans="1:2" ht="15.75" customHeight="1" x14ac:dyDescent="0.15">
      <c r="A18" s="3"/>
      <c r="B18" s="3"/>
    </row>
    <row r="19" spans="1:2" ht="15.75" customHeight="1" x14ac:dyDescent="0.15">
      <c r="A19" s="3"/>
      <c r="B19" s="3"/>
    </row>
    <row r="20" spans="1:2" ht="15.75" customHeight="1" x14ac:dyDescent="0.15">
      <c r="A20" s="3"/>
      <c r="B20" s="3"/>
    </row>
    <row r="21" spans="1:2" ht="15.75" customHeight="1" x14ac:dyDescent="0.15">
      <c r="A21" s="3"/>
      <c r="B21" s="3"/>
    </row>
    <row r="22" spans="1:2" ht="15.75" customHeight="1" x14ac:dyDescent="0.15">
      <c r="A22" s="3"/>
      <c r="B22" s="3"/>
    </row>
    <row r="23" spans="1:2" ht="15.75" customHeight="1" x14ac:dyDescent="0.15">
      <c r="A23" s="3"/>
      <c r="B23" s="3"/>
    </row>
    <row r="24" spans="1:2" ht="15.75" customHeight="1" x14ac:dyDescent="0.15">
      <c r="A24" s="3"/>
      <c r="B24" s="3"/>
    </row>
    <row r="25" spans="1:2" ht="15.75" customHeight="1" x14ac:dyDescent="0.15">
      <c r="A25" s="3"/>
      <c r="B25" s="3"/>
    </row>
    <row r="26" spans="1:2" ht="15.75" customHeight="1" x14ac:dyDescent="0.15">
      <c r="A26" s="3"/>
      <c r="B26" s="3"/>
    </row>
    <row r="27" spans="1:2" ht="15.75" customHeight="1" x14ac:dyDescent="0.15">
      <c r="A27" s="3"/>
      <c r="B27" s="3"/>
    </row>
    <row r="28" spans="1:2" ht="15.75" customHeight="1" x14ac:dyDescent="0.15">
      <c r="A28" s="3"/>
      <c r="B28" s="3"/>
    </row>
    <row r="29" spans="1:2" ht="15.75" customHeight="1" x14ac:dyDescent="0.15">
      <c r="A29" s="3"/>
      <c r="B29" s="3"/>
    </row>
    <row r="30" spans="1:2" ht="15.75" customHeight="1" x14ac:dyDescent="0.15">
      <c r="A30" s="3"/>
      <c r="B30" s="3"/>
    </row>
    <row r="31" spans="1:2" ht="15.75" customHeight="1" x14ac:dyDescent="0.15">
      <c r="A31" s="3"/>
      <c r="B31" s="3"/>
    </row>
    <row r="32" spans="1:2" ht="15.75" customHeight="1" x14ac:dyDescent="0.15">
      <c r="A32" s="3"/>
      <c r="B32" s="3"/>
    </row>
    <row r="33" spans="1:2" ht="15.75" customHeight="1" x14ac:dyDescent="0.15">
      <c r="A33" s="3"/>
      <c r="B33" s="3"/>
    </row>
    <row r="34" spans="1:2" ht="15.75" customHeight="1" x14ac:dyDescent="0.15">
      <c r="A34" s="3"/>
      <c r="B34" s="3"/>
    </row>
    <row r="35" spans="1:2" ht="15.75" customHeight="1" x14ac:dyDescent="0.15">
      <c r="A35" s="3"/>
      <c r="B35" s="3"/>
    </row>
    <row r="36" spans="1:2" ht="15.75" customHeight="1" x14ac:dyDescent="0.15">
      <c r="A36" s="3"/>
      <c r="B36" s="3"/>
    </row>
    <row r="37" spans="1:2" ht="15.75" customHeight="1" x14ac:dyDescent="0.15">
      <c r="A37" s="3"/>
      <c r="B37" s="3"/>
    </row>
    <row r="38" spans="1:2" ht="15.75" customHeight="1" x14ac:dyDescent="0.15">
      <c r="A38" s="3"/>
      <c r="B38" s="3"/>
    </row>
    <row r="39" spans="1:2" ht="15.75" customHeight="1" x14ac:dyDescent="0.15">
      <c r="A39" s="3"/>
      <c r="B39" s="3"/>
    </row>
    <row r="40" spans="1:2" ht="15.75" customHeight="1" x14ac:dyDescent="0.15">
      <c r="A40" s="3"/>
      <c r="B40" s="3"/>
    </row>
    <row r="41" spans="1:2" ht="15.75" customHeight="1" x14ac:dyDescent="0.15">
      <c r="A41" s="3"/>
      <c r="B41" s="3"/>
    </row>
    <row r="42" spans="1:2" ht="15.75" customHeight="1" x14ac:dyDescent="0.15">
      <c r="A42" s="3"/>
      <c r="B42" s="3"/>
    </row>
    <row r="43" spans="1:2" ht="15.75" customHeight="1" x14ac:dyDescent="0.15">
      <c r="A43" s="3"/>
      <c r="B43" s="3"/>
    </row>
    <row r="44" spans="1:2" ht="15.75" customHeight="1" x14ac:dyDescent="0.15">
      <c r="A44" s="3"/>
      <c r="B44" s="3"/>
    </row>
    <row r="45" spans="1:2" ht="15.75" customHeight="1" x14ac:dyDescent="0.15">
      <c r="A45" s="3"/>
      <c r="B45" s="3"/>
    </row>
    <row r="46" spans="1:2" ht="15.75" customHeight="1" x14ac:dyDescent="0.15">
      <c r="A46" s="3"/>
      <c r="B46" s="3"/>
    </row>
    <row r="47" spans="1:2" ht="15.75" customHeight="1" x14ac:dyDescent="0.15">
      <c r="A47" s="3"/>
      <c r="B47" s="3"/>
    </row>
    <row r="48" spans="1:2" ht="15.75" customHeight="1" x14ac:dyDescent="0.15">
      <c r="A48" s="3"/>
      <c r="B48" s="3"/>
    </row>
    <row r="49" spans="1:2" ht="15.75" customHeight="1" x14ac:dyDescent="0.15">
      <c r="A49" s="3"/>
      <c r="B49" s="3"/>
    </row>
    <row r="50" spans="1:2" ht="15.75" customHeight="1" x14ac:dyDescent="0.15">
      <c r="A50" s="3"/>
      <c r="B50" s="3"/>
    </row>
    <row r="51" spans="1:2" ht="15.75" customHeight="1" x14ac:dyDescent="0.15">
      <c r="A51" s="3"/>
      <c r="B51" s="3"/>
    </row>
    <row r="52" spans="1:2" ht="15.75" customHeight="1" x14ac:dyDescent="0.15">
      <c r="A52" s="3"/>
      <c r="B52" s="3"/>
    </row>
    <row r="53" spans="1:2" ht="15.75" customHeight="1" x14ac:dyDescent="0.15">
      <c r="A53" s="3"/>
      <c r="B53" s="3"/>
    </row>
    <row r="54" spans="1:2" ht="15.75" customHeight="1" x14ac:dyDescent="0.15">
      <c r="A54" s="3"/>
      <c r="B54" s="3"/>
    </row>
    <row r="55" spans="1:2" ht="15.75" customHeight="1" x14ac:dyDescent="0.15">
      <c r="A55" s="3"/>
      <c r="B55" s="3"/>
    </row>
    <row r="56" spans="1:2" ht="15.75" customHeight="1" x14ac:dyDescent="0.15">
      <c r="A56" s="3"/>
      <c r="B56" s="3"/>
    </row>
    <row r="57" spans="1:2" ht="15.75" customHeight="1" x14ac:dyDescent="0.15">
      <c r="A57" s="3"/>
      <c r="B57" s="3"/>
    </row>
    <row r="58" spans="1:2" ht="15.75" customHeight="1" x14ac:dyDescent="0.15">
      <c r="A58" s="3"/>
      <c r="B58" s="3"/>
    </row>
    <row r="59" spans="1:2" ht="15.75" customHeight="1" x14ac:dyDescent="0.15">
      <c r="A59" s="3"/>
      <c r="B59" s="3"/>
    </row>
    <row r="60" spans="1:2" ht="13" x14ac:dyDescent="0.15">
      <c r="A60" s="3"/>
      <c r="B60" s="3"/>
    </row>
    <row r="61" spans="1:2" ht="13" x14ac:dyDescent="0.15">
      <c r="A61" s="3"/>
      <c r="B61" s="3"/>
    </row>
    <row r="62" spans="1:2" ht="13" x14ac:dyDescent="0.15">
      <c r="A62" s="3"/>
      <c r="B62" s="3"/>
    </row>
    <row r="63" spans="1:2" ht="13" x14ac:dyDescent="0.15">
      <c r="A63" s="3"/>
      <c r="B63" s="3"/>
    </row>
    <row r="64" spans="1:2" ht="13" x14ac:dyDescent="0.15">
      <c r="A64" s="3"/>
      <c r="B64" s="3"/>
    </row>
    <row r="65" spans="1:2" ht="13" x14ac:dyDescent="0.15">
      <c r="A65" s="3"/>
      <c r="B65" s="3"/>
    </row>
    <row r="66" spans="1:2" ht="13" x14ac:dyDescent="0.15">
      <c r="A66" s="3"/>
      <c r="B66" s="3"/>
    </row>
    <row r="67" spans="1:2" ht="13" x14ac:dyDescent="0.15">
      <c r="A67" s="3"/>
      <c r="B67" s="3"/>
    </row>
    <row r="68" spans="1:2" ht="13" x14ac:dyDescent="0.15">
      <c r="A68" s="3"/>
      <c r="B68" s="3"/>
    </row>
    <row r="69" spans="1:2" ht="13" x14ac:dyDescent="0.15">
      <c r="A69" s="3"/>
      <c r="B69" s="3"/>
    </row>
    <row r="70" spans="1:2" ht="13" x14ac:dyDescent="0.15">
      <c r="A70" s="3"/>
      <c r="B70" s="3"/>
    </row>
    <row r="71" spans="1:2" ht="13" x14ac:dyDescent="0.15">
      <c r="A71" s="3"/>
      <c r="B71" s="3"/>
    </row>
    <row r="72" spans="1:2" ht="13" x14ac:dyDescent="0.15">
      <c r="A72" s="3"/>
      <c r="B72" s="3"/>
    </row>
    <row r="73" spans="1:2" ht="13" x14ac:dyDescent="0.15">
      <c r="A73" s="3"/>
      <c r="B73" s="3"/>
    </row>
    <row r="74" spans="1:2" ht="13" x14ac:dyDescent="0.15">
      <c r="A74" s="3"/>
      <c r="B74" s="3"/>
    </row>
    <row r="75" spans="1:2" ht="13" x14ac:dyDescent="0.15">
      <c r="A75" s="3"/>
      <c r="B75" s="3"/>
    </row>
    <row r="76" spans="1:2" ht="13" x14ac:dyDescent="0.15">
      <c r="A76" s="3"/>
      <c r="B76" s="3"/>
    </row>
    <row r="77" spans="1:2" ht="13" x14ac:dyDescent="0.15">
      <c r="A77" s="3"/>
      <c r="B77" s="3"/>
    </row>
    <row r="78" spans="1:2" ht="13" x14ac:dyDescent="0.15">
      <c r="A78" s="3"/>
      <c r="B78" s="3"/>
    </row>
    <row r="79" spans="1:2" ht="13" x14ac:dyDescent="0.15">
      <c r="A79" s="3"/>
      <c r="B79" s="3"/>
    </row>
    <row r="80" spans="1:2"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row r="981" spans="1:2" ht="13" x14ac:dyDescent="0.15">
      <c r="A981" s="3"/>
      <c r="B981" s="3"/>
    </row>
    <row r="982" spans="1:2" ht="13" x14ac:dyDescent="0.15">
      <c r="A982" s="3"/>
      <c r="B982" s="3"/>
    </row>
    <row r="983" spans="1:2" ht="13" x14ac:dyDescent="0.15">
      <c r="A983" s="3"/>
      <c r="B983" s="3"/>
    </row>
    <row r="984" spans="1:2" ht="13" x14ac:dyDescent="0.15">
      <c r="A984" s="3"/>
      <c r="B984" s="3"/>
    </row>
    <row r="985" spans="1:2" ht="13" x14ac:dyDescent="0.15">
      <c r="A985" s="3"/>
      <c r="B985"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980"/>
  <sheetViews>
    <sheetView workbookViewId="0"/>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5"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row>
    <row r="2" spans="1:25" x14ac:dyDescent="0.2">
      <c r="A2" s="4" t="s">
        <v>30</v>
      </c>
      <c r="B2" s="2"/>
      <c r="C2" s="2"/>
      <c r="D2" s="3"/>
      <c r="E2" s="3"/>
      <c r="F2" s="2"/>
      <c r="G2" s="2"/>
      <c r="H2" s="2"/>
      <c r="I2" s="2"/>
      <c r="J2" s="2"/>
      <c r="K2" s="2"/>
      <c r="L2" s="2"/>
      <c r="M2" s="2"/>
      <c r="N2" s="2"/>
      <c r="O2" s="2"/>
      <c r="P2" s="2"/>
      <c r="Q2" s="2"/>
      <c r="R2" s="2"/>
      <c r="S2" s="2"/>
      <c r="T2" s="2"/>
      <c r="U2" s="2"/>
      <c r="V2" s="2"/>
      <c r="W2" s="2"/>
      <c r="X2" s="2"/>
    </row>
    <row r="3" spans="1:25"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7"/>
      <c r="X3" s="7"/>
      <c r="Y3" s="7"/>
    </row>
    <row r="4" spans="1:25" ht="15.75" customHeight="1" x14ac:dyDescent="0.15">
      <c r="A4" s="3" t="str">
        <f ca="1">IFERROR(__xludf.DUMMYFUNCTION("IMPORTRANGE(""https://docs.google.com/spreadsheets/d/1C7ebseLw3CypDIkJDJaWHHfWiV3njB56moaBb7gLWo8/edit#gid=0"",""Specialty Items!A4:A"")"),"Abdominal Surgery")</f>
        <v>Abdominal Surgery</v>
      </c>
      <c r="B4" s="3" t="str">
        <f ca="1">IFERROR(__xludf.DUMMYFUNCTION("IMPORTRANGE(""https://docs.google.com/spreadsheets/d/1C7ebseLw3CypDIkJDJaWHHfWiV3njB56moaBb7gLWo8/edit#gid=0"",""Specialty Items!B4:B"")"),"SUAB")</f>
        <v>SUAB</v>
      </c>
      <c r="C4" s="3" t="str">
        <f ca="1">IFERROR(__xludf.DUMMYFUNCTION("GOOGLETRANSLATE($A4,""en"",""de"")"),"Bauchchirurgie")</f>
        <v>Bauchchirurgie</v>
      </c>
      <c r="D4" s="3" t="str">
        <f ca="1">IFERROR(__xludf.DUMMYFUNCTION("GOOGLETRANSLATE($A4,""en"",""fr"")"),"Chirurgie abdominale")</f>
        <v>Chirurgie abdominale</v>
      </c>
      <c r="E4" s="3" t="str">
        <f ca="1">IFERROR(__xludf.DUMMYFUNCTION("GOOGLETRANSLATE($A4,""en"",""es"")"),"Cirugía abdominal")</f>
        <v>Cirugía abdominal</v>
      </c>
      <c r="F4" s="3" t="str">
        <f ca="1">IFERROR(__xludf.DUMMYFUNCTION("GOOGLETRANSLATE($A4,""en"",""it"")"),"Chirurgia addominale")</f>
        <v>Chirurgia addominale</v>
      </c>
      <c r="G4" s="3" t="str">
        <f ca="1">IFERROR(__xludf.DUMMYFUNCTION("GOOGLETRANSLATE($A4,""en"",""zh-cn"")"),"腹部手术")</f>
        <v>腹部手术</v>
      </c>
      <c r="H4" s="3" t="str">
        <f ca="1">IFERROR(__xludf.DUMMYFUNCTION("GOOGLETRANSLATE($A4,""en"",""ja"")"),"腹部手術")</f>
        <v>腹部手術</v>
      </c>
      <c r="I4" s="3" t="str">
        <f ca="1">IFERROR(__xludf.DUMMYFUNCTION("GOOGLETRANSLATE($A4,""en"",""ko"")"),"복부외과")</f>
        <v>복부외과</v>
      </c>
      <c r="J4" s="3" t="str">
        <f ca="1">IFERROR(__xludf.DUMMYFUNCTION("GOOGLETRANSLATE($A4,""en"",""pt-BR"")"),"Cirurgia abdominal")</f>
        <v>Cirurgia abdominal</v>
      </c>
    </row>
    <row r="5" spans="1:25" ht="15.75" customHeight="1" x14ac:dyDescent="0.15">
      <c r="A5" s="9" t="str">
        <f ca="1">IFERROR(__xludf.DUMMYFUNCTION("""COMPUTED_VALUE"""),"Addiction Medicine")</f>
        <v>Addiction Medicine</v>
      </c>
      <c r="B5" s="9" t="str">
        <f ca="1">IFERROR(__xludf.DUMMYFUNCTION("""COMPUTED_VALUE"""),"AM")</f>
        <v>AM</v>
      </c>
      <c r="C5" s="3" t="str">
        <f ca="1">IFERROR(__xludf.DUMMYFUNCTION("GOOGLETRANSLATE($A5,""en"",""de"")"),"Suchtmedizin")</f>
        <v>Suchtmedizin</v>
      </c>
      <c r="D5" s="3" t="str">
        <f ca="1">IFERROR(__xludf.DUMMYFUNCTION("GOOGLETRANSLATE($A5,""en"",""fr"")"),"Médecine de la toxicomanie")</f>
        <v>Médecine de la toxicomanie</v>
      </c>
      <c r="E5" s="3" t="str">
        <f ca="1">IFERROR(__xludf.DUMMYFUNCTION("GOOGLETRANSLATE($A5,""en"",""es"")"),"Medicina de adicción")</f>
        <v>Medicina de adicción</v>
      </c>
      <c r="F5" s="3" t="str">
        <f ca="1">IFERROR(__xludf.DUMMYFUNCTION("GOOGLETRANSLATE($A5,""en"",""it"")"),"Medicina delle dipendenze")</f>
        <v>Medicina delle dipendenze</v>
      </c>
      <c r="G5" s="3" t="str">
        <f ca="1">IFERROR(__xludf.DUMMYFUNCTION("GOOGLETRANSLATE($A5,""en"",""zh-cn"")"),"成瘾医学")</f>
        <v>成瘾医学</v>
      </c>
      <c r="H5" s="3" t="str">
        <f ca="1">IFERROR(__xludf.DUMMYFUNCTION("GOOGLETRANSLATE($A5,""en"",""ja"")"),"依存症の薬")</f>
        <v>依存症の薬</v>
      </c>
      <c r="I5" s="3" t="str">
        <f ca="1">IFERROR(__xludf.DUMMYFUNCTION("GOOGLETRANSLATE($A5,""en"",""ko"")"),"중독 의학")</f>
        <v>중독 의학</v>
      </c>
      <c r="J5" s="3" t="str">
        <f ca="1">IFERROR(__xludf.DUMMYFUNCTION("GOOGLETRANSLATE($A5,""en"",""pt-BR"")"),"Remédio para Dependência")</f>
        <v>Remédio para Dependência</v>
      </c>
    </row>
    <row r="6" spans="1:25" ht="15.75" customHeight="1" x14ac:dyDescent="0.15">
      <c r="A6" s="9" t="str">
        <f ca="1">IFERROR(__xludf.DUMMYFUNCTION("""COMPUTED_VALUE"""),"Addiction Psychiatry")</f>
        <v>Addiction Psychiatry</v>
      </c>
      <c r="B6" s="9" t="str">
        <f ca="1">IFERROR(__xludf.DUMMYFUNCTION("""COMPUTED_VALUE"""),"AMPY")</f>
        <v>AMPY</v>
      </c>
      <c r="C6" s="3" t="str">
        <f ca="1">IFERROR(__xludf.DUMMYFUNCTION("GOOGLETRANSLATE($A6,""en"",""de"")"),"Suchtpsychiatrie")</f>
        <v>Suchtpsychiatrie</v>
      </c>
      <c r="D6" s="3" t="str">
        <f ca="1">IFERROR(__xludf.DUMMYFUNCTION("GOOGLETRANSLATE($A6,""en"",""fr"")"),"Psychiatrie de la toxicomanie")</f>
        <v>Psychiatrie de la toxicomanie</v>
      </c>
      <c r="E6" s="3" t="str">
        <f ca="1">IFERROR(__xludf.DUMMYFUNCTION("GOOGLETRANSLATE($A6,""en"",""es"")"),"Psiquiatría de adicciones")</f>
        <v>Psiquiatría de adicciones</v>
      </c>
      <c r="F6" s="3" t="str">
        <f ca="1">IFERROR(__xludf.DUMMYFUNCTION("GOOGLETRANSLATE($A6,""en"",""it"")"),"Psichiatria delle dipendenze")</f>
        <v>Psichiatria delle dipendenze</v>
      </c>
      <c r="G6" s="3" t="str">
        <f ca="1">IFERROR(__xludf.DUMMYFUNCTION("GOOGLETRANSLATE($A6,""en"",""zh-cn"")"),"成瘾精神病学")</f>
        <v>成瘾精神病学</v>
      </c>
      <c r="H6" s="3" t="str">
        <f ca="1">IFERROR(__xludf.DUMMYFUNCTION("GOOGLETRANSLATE($A6,""en"",""ja"")"),"依存症精神科")</f>
        <v>依存症精神科</v>
      </c>
      <c r="I6" s="3" t="str">
        <f ca="1">IFERROR(__xludf.DUMMYFUNCTION("GOOGLETRANSLATE($A6,""en"",""ko"")"),"중독 정신과")</f>
        <v>중독 정신과</v>
      </c>
      <c r="J6" s="3" t="str">
        <f ca="1">IFERROR(__xludf.DUMMYFUNCTION("GOOGLETRANSLATE($A6,""en"",""pt-BR"")"),"Psiquiatria do Dependência")</f>
        <v>Psiquiatria do Dependência</v>
      </c>
    </row>
    <row r="7" spans="1:25" ht="15.75" customHeight="1" x14ac:dyDescent="0.15">
      <c r="A7" s="9" t="str">
        <f ca="1">IFERROR(__xludf.DUMMYFUNCTION("""COMPUTED_VALUE"""),"Administrative Medicine")</f>
        <v>Administrative Medicine</v>
      </c>
      <c r="B7" s="9" t="str">
        <f ca="1">IFERROR(__xludf.DUMMYFUNCTION("""COMPUTED_VALUE"""),"AD")</f>
        <v>AD</v>
      </c>
      <c r="C7" s="3" t="str">
        <f ca="1">IFERROR(__xludf.DUMMYFUNCTION("GOOGLETRANSLATE($A7,""en"",""de"")"),"Verwaltungsmedizin")</f>
        <v>Verwaltungsmedizin</v>
      </c>
      <c r="D7" s="3" t="str">
        <f ca="1">IFERROR(__xludf.DUMMYFUNCTION("GOOGLETRANSLATE($A7,""en"",""fr"")"),"Médecine administrative")</f>
        <v>Médecine administrative</v>
      </c>
      <c r="E7" s="3" t="str">
        <f ca="1">IFERROR(__xludf.DUMMYFUNCTION("GOOGLETRANSLATE($A7,""en"",""es"")"),"Medicina Administrativa")</f>
        <v>Medicina Administrativa</v>
      </c>
      <c r="F7" s="3" t="str">
        <f ca="1">IFERROR(__xludf.DUMMYFUNCTION("GOOGLETRANSLATE($A7,""en"",""it"")"),"Medicina Amministrativa")</f>
        <v>Medicina Amministrativa</v>
      </c>
      <c r="G7" s="3" t="str">
        <f ca="1">IFERROR(__xludf.DUMMYFUNCTION("GOOGLETRANSLATE($A7,""en"",""zh-cn"")"),"行政医学")</f>
        <v>行政医学</v>
      </c>
      <c r="H7" s="3" t="str">
        <f ca="1">IFERROR(__xludf.DUMMYFUNCTION("GOOGLETRANSLATE($A7,""en"",""ja"")"),"管理医学")</f>
        <v>管理医学</v>
      </c>
      <c r="I7" s="3" t="str">
        <f ca="1">IFERROR(__xludf.DUMMYFUNCTION("GOOGLETRANSLATE($A7,""en"",""ko"")"),"행정의학")</f>
        <v>행정의학</v>
      </c>
      <c r="J7" s="3" t="str">
        <f ca="1">IFERROR(__xludf.DUMMYFUNCTION("GOOGLETRANSLATE($A7,""en"",""pt-BR"")"),"Medicina Administrativa")</f>
        <v>Medicina Administrativa</v>
      </c>
    </row>
    <row r="8" spans="1:25" ht="15.75" customHeight="1" x14ac:dyDescent="0.15">
      <c r="A8" s="9" t="str">
        <f ca="1">IFERROR(__xludf.DUMMYFUNCTION("""COMPUTED_VALUE"""),"Advanced Heart Failure")</f>
        <v>Advanced Heart Failure</v>
      </c>
      <c r="B8" s="9" t="str">
        <f ca="1">IFERROR(__xludf.DUMMYFUNCTION("""COMPUTED_VALUE"""),"CDHF")</f>
        <v>CDHF</v>
      </c>
      <c r="C8" s="3" t="str">
        <f ca="1">IFERROR(__xludf.DUMMYFUNCTION("GOOGLETRANSLATE($A8,""en"",""de"")"),"Fortgeschrittene Herzinsuffizienz")</f>
        <v>Fortgeschrittene Herzinsuffizienz</v>
      </c>
      <c r="D8" s="3" t="str">
        <f ca="1">IFERROR(__xludf.DUMMYFUNCTION("GOOGLETRANSLATE($A8,""en"",""fr"")"),"Insuffisance cardiaque avancée")</f>
        <v>Insuffisance cardiaque avancée</v>
      </c>
      <c r="E8" s="3" t="str">
        <f ca="1">IFERROR(__xludf.DUMMYFUNCTION("GOOGLETRANSLATE($A8,""en"",""es"")"),"Insuficiencia cardíaca avanzada")</f>
        <v>Insuficiencia cardíaca avanzada</v>
      </c>
      <c r="F8" s="3" t="str">
        <f ca="1">IFERROR(__xludf.DUMMYFUNCTION("GOOGLETRANSLATE($A8,""en"",""it"")"),"Insufficienza cardiaca avanzata")</f>
        <v>Insufficienza cardiaca avanzata</v>
      </c>
      <c r="G8" s="3" t="str">
        <f ca="1">IFERROR(__xludf.DUMMYFUNCTION("GOOGLETRANSLATE($A8,""en"",""zh-cn"")"),"晚期心力衰竭")</f>
        <v>晚期心力衰竭</v>
      </c>
      <c r="H8" s="3" t="str">
        <f ca="1">IFERROR(__xludf.DUMMYFUNCTION("GOOGLETRANSLATE($A8,""en"",""ja"")"),"進行性心不全")</f>
        <v>進行性心不全</v>
      </c>
      <c r="I8" s="3" t="str">
        <f ca="1">IFERROR(__xludf.DUMMYFUNCTION("GOOGLETRANSLATE($A8,""en"",""ko"")"),"고급 심부전")</f>
        <v>고급 심부전</v>
      </c>
      <c r="J8" s="3" t="str">
        <f ca="1">IFERROR(__xludf.DUMMYFUNCTION("GOOGLETRANSLATE($A8,""en"",""pt-BR"")"),"Insuficiência Cardíaca Avançada")</f>
        <v>Insuficiência Cardíaca Avançada</v>
      </c>
    </row>
    <row r="9" spans="1:25" ht="15.75" customHeight="1" x14ac:dyDescent="0.15">
      <c r="A9" s="9" t="str">
        <f ca="1">IFERROR(__xludf.DUMMYFUNCTION("""COMPUTED_VALUE"""),"Allergy")</f>
        <v>Allergy</v>
      </c>
      <c r="B9" s="9" t="str">
        <f ca="1">IFERROR(__xludf.DUMMYFUNCTION("""COMPUTED_VALUE"""),"IYAL")</f>
        <v>IYAL</v>
      </c>
      <c r="C9" s="3" t="str">
        <f ca="1">IFERROR(__xludf.DUMMYFUNCTION("GOOGLETRANSLATE($A9,""en"",""de"")"),"Allergie")</f>
        <v>Allergie</v>
      </c>
      <c r="D9" s="3" t="str">
        <f ca="1">IFERROR(__xludf.DUMMYFUNCTION("GOOGLETRANSLATE($A9,""en"",""fr"")"),"Allergie")</f>
        <v>Allergie</v>
      </c>
      <c r="E9" s="3" t="str">
        <f ca="1">IFERROR(__xludf.DUMMYFUNCTION("GOOGLETRANSLATE($A9,""en"",""es"")"),"Alergia")</f>
        <v>Alergia</v>
      </c>
      <c r="F9" s="3" t="str">
        <f ca="1">IFERROR(__xludf.DUMMYFUNCTION("GOOGLETRANSLATE($A9,""en"",""it"")"),"Allergia")</f>
        <v>Allergia</v>
      </c>
      <c r="G9" s="3" t="str">
        <f ca="1">IFERROR(__xludf.DUMMYFUNCTION("GOOGLETRANSLATE($A9,""en"",""zh-cn"")"),"过敏")</f>
        <v>过敏</v>
      </c>
      <c r="H9" s="3" t="str">
        <f ca="1">IFERROR(__xludf.DUMMYFUNCTION("GOOGLETRANSLATE($A9,""en"",""ja"")"),"アレルギー")</f>
        <v>アレルギー</v>
      </c>
      <c r="I9" s="3" t="str">
        <f ca="1">IFERROR(__xludf.DUMMYFUNCTION("GOOGLETRANSLATE($A9,""en"",""ko"")"),"알레르기")</f>
        <v>알레르기</v>
      </c>
      <c r="J9" s="3" t="str">
        <f ca="1">IFERROR(__xludf.DUMMYFUNCTION("GOOGLETRANSLATE($A9,""en"",""pt-BR"")"),"Alergia")</f>
        <v>Alergia</v>
      </c>
    </row>
    <row r="10" spans="1:25" ht="15.75" customHeight="1" x14ac:dyDescent="0.15">
      <c r="A10" s="9" t="str">
        <f ca="1">IFERROR(__xludf.DUMMYFUNCTION("""COMPUTED_VALUE"""),"Alternative Medicine")</f>
        <v>Alternative Medicine</v>
      </c>
      <c r="B10" s="9" t="str">
        <f ca="1">IFERROR(__xludf.DUMMYFUNCTION("""COMPUTED_VALUE"""),"AL")</f>
        <v>AL</v>
      </c>
      <c r="C10" s="3" t="str">
        <f ca="1">IFERROR(__xludf.DUMMYFUNCTION("GOOGLETRANSLATE($A10,""en"",""de"")"),"Alternative Medizin")</f>
        <v>Alternative Medizin</v>
      </c>
      <c r="D10" s="3" t="str">
        <f ca="1">IFERROR(__xludf.DUMMYFUNCTION("GOOGLETRANSLATE($A10,""en"",""fr"")"),"Médecine douce")</f>
        <v>Médecine douce</v>
      </c>
      <c r="E10" s="3" t="str">
        <f ca="1">IFERROR(__xludf.DUMMYFUNCTION("GOOGLETRANSLATE($A10,""en"",""es"")"),"Medicina alternativa")</f>
        <v>Medicina alternativa</v>
      </c>
      <c r="F10" s="3" t="str">
        <f ca="1">IFERROR(__xludf.DUMMYFUNCTION("GOOGLETRANSLATE($A10,""en"",""it"")"),"Medicina alternativa")</f>
        <v>Medicina alternativa</v>
      </c>
      <c r="G10" s="3" t="str">
        <f ca="1">IFERROR(__xludf.DUMMYFUNCTION("GOOGLETRANSLATE($A10,""en"",""zh-cn"")"),"替代药物")</f>
        <v>替代药物</v>
      </c>
      <c r="H10" s="3" t="str">
        <f ca="1">IFERROR(__xludf.DUMMYFUNCTION("GOOGLETRANSLATE($A10,""en"",""ja"")"),"代替医療")</f>
        <v>代替医療</v>
      </c>
      <c r="I10" s="3" t="str">
        <f ca="1">IFERROR(__xludf.DUMMYFUNCTION("GOOGLETRANSLATE($A10,""en"",""ko"")"),"대체 약품")</f>
        <v>대체 약품</v>
      </c>
      <c r="J10" s="3" t="str">
        <f ca="1">IFERROR(__xludf.DUMMYFUNCTION("GOOGLETRANSLATE($A10,""en"",""pt-BR"")"),"Medicina alternativa")</f>
        <v>Medicina alternativa</v>
      </c>
    </row>
    <row r="11" spans="1:25" ht="15.75" customHeight="1" x14ac:dyDescent="0.15">
      <c r="A11" s="9" t="str">
        <f ca="1">IFERROR(__xludf.DUMMYFUNCTION("""COMPUTED_VALUE"""),"Anesthesiology")</f>
        <v>Anesthesiology</v>
      </c>
      <c r="B11" s="9" t="str">
        <f ca="1">IFERROR(__xludf.DUMMYFUNCTION("""COMPUTED_VALUE"""),"AE")</f>
        <v>AE</v>
      </c>
      <c r="C11" s="3" t="str">
        <f ca="1">IFERROR(__xludf.DUMMYFUNCTION("GOOGLETRANSLATE($A11,""en"",""de"")"),"Anästhesiologie")</f>
        <v>Anästhesiologie</v>
      </c>
      <c r="D11" s="3" t="str">
        <f ca="1">IFERROR(__xludf.DUMMYFUNCTION("GOOGLETRANSLATE($A11,""en"",""fr"")"),"Anesthésiologie")</f>
        <v>Anesthésiologie</v>
      </c>
      <c r="E11" s="3" t="str">
        <f ca="1">IFERROR(__xludf.DUMMYFUNCTION("GOOGLETRANSLATE($A11,""en"",""es"")"),"Anestesiología")</f>
        <v>Anestesiología</v>
      </c>
      <c r="F11" s="3" t="str">
        <f ca="1">IFERROR(__xludf.DUMMYFUNCTION("GOOGLETRANSLATE($A11,""en"",""it"")"),"Anestesiologia")</f>
        <v>Anestesiologia</v>
      </c>
      <c r="G11" s="3" t="str">
        <f ca="1">IFERROR(__xludf.DUMMYFUNCTION("GOOGLETRANSLATE($A11,""en"",""zh-cn"")"),"麻醉学")</f>
        <v>麻醉学</v>
      </c>
      <c r="H11" s="3" t="str">
        <f ca="1">IFERROR(__xludf.DUMMYFUNCTION("GOOGLETRANSLATE($A11,""en"",""ja"")"),"麻酔学")</f>
        <v>麻酔学</v>
      </c>
      <c r="I11" s="3" t="str">
        <f ca="1">IFERROR(__xludf.DUMMYFUNCTION("GOOGLETRANSLATE($A11,""en"",""ko"")"),"마취학")</f>
        <v>마취학</v>
      </c>
      <c r="J11" s="3" t="str">
        <f ca="1">IFERROR(__xludf.DUMMYFUNCTION("GOOGLETRANSLATE($A11,""en"",""pt-BR"")"),"Anestesiologia")</f>
        <v>Anestesiologia</v>
      </c>
    </row>
    <row r="12" spans="1:25" ht="15.75" customHeight="1" x14ac:dyDescent="0.15">
      <c r="A12" s="9" t="str">
        <f ca="1">IFERROR(__xludf.DUMMYFUNCTION("""COMPUTED_VALUE"""),"Angiology")</f>
        <v>Angiology</v>
      </c>
      <c r="B12" s="9" t="str">
        <f ca="1">IFERROR(__xludf.DUMMYFUNCTION("""COMPUTED_VALUE"""),"IMAN")</f>
        <v>IMAN</v>
      </c>
      <c r="C12" s="3" t="str">
        <f ca="1">IFERROR(__xludf.DUMMYFUNCTION("GOOGLETRANSLATE($A12,""en"",""de"")"),"Angiologie")</f>
        <v>Angiologie</v>
      </c>
      <c r="D12" s="3" t="str">
        <f ca="1">IFERROR(__xludf.DUMMYFUNCTION("GOOGLETRANSLATE($A12,""en"",""fr"")"),"Angiologie")</f>
        <v>Angiologie</v>
      </c>
      <c r="E12" s="3" t="str">
        <f ca="1">IFERROR(__xludf.DUMMYFUNCTION("GOOGLETRANSLATE($A12,""en"",""es"")"),"Angiología")</f>
        <v>Angiología</v>
      </c>
      <c r="F12" s="3" t="str">
        <f ca="1">IFERROR(__xludf.DUMMYFUNCTION("GOOGLETRANSLATE($A12,""en"",""it"")"),"Angiologia")</f>
        <v>Angiologia</v>
      </c>
      <c r="G12" s="3" t="str">
        <f ca="1">IFERROR(__xludf.DUMMYFUNCTION("GOOGLETRANSLATE($A12,""en"",""zh-cn"")"),"血管学")</f>
        <v>血管学</v>
      </c>
      <c r="H12" s="3" t="str">
        <f ca="1">IFERROR(__xludf.DUMMYFUNCTION("GOOGLETRANSLATE($A12,""en"",""ja"")"),"血管学")</f>
        <v>血管学</v>
      </c>
      <c r="I12" s="3" t="str">
        <f ca="1">IFERROR(__xludf.DUMMYFUNCTION("GOOGLETRANSLATE($A12,""en"",""ko"")"),"혈관학")</f>
        <v>혈관학</v>
      </c>
      <c r="J12" s="3" t="str">
        <f ca="1">IFERROR(__xludf.DUMMYFUNCTION("GOOGLETRANSLATE($A12,""en"",""pt-BR"")"),"Angiologia")</f>
        <v>Angiologia</v>
      </c>
    </row>
    <row r="13" spans="1:25" ht="15.75" customHeight="1" x14ac:dyDescent="0.15">
      <c r="A13" s="9" t="str">
        <f ca="1">IFERROR(__xludf.DUMMYFUNCTION("""COMPUTED_VALUE"""),"Cardiac Electrophysiology")</f>
        <v>Cardiac Electrophysiology</v>
      </c>
      <c r="B13" s="9" t="str">
        <f ca="1">IFERROR(__xludf.DUMMYFUNCTION("""COMPUTED_VALUE"""),"CDEP")</f>
        <v>CDEP</v>
      </c>
      <c r="C13" s="3" t="str">
        <f ca="1">IFERROR(__xludf.DUMMYFUNCTION("GOOGLETRANSLATE($A13,""en"",""de"")"),"Herzelektrophysiologie")</f>
        <v>Herzelektrophysiologie</v>
      </c>
      <c r="D13" s="3" t="str">
        <f ca="1">IFERROR(__xludf.DUMMYFUNCTION("GOOGLETRANSLATE($A13,""en"",""fr"")"),"Électrophysiologie cardiaque")</f>
        <v>Électrophysiologie cardiaque</v>
      </c>
      <c r="E13" s="3" t="str">
        <f ca="1">IFERROR(__xludf.DUMMYFUNCTION("GOOGLETRANSLATE($A13,""en"",""es"")"),"Electrofisiología cardíaca")</f>
        <v>Electrofisiología cardíaca</v>
      </c>
      <c r="F13" s="3" t="str">
        <f ca="1">IFERROR(__xludf.DUMMYFUNCTION("GOOGLETRANSLATE($A13,""en"",""it"")"),"Elettrofisiologia cardiaca")</f>
        <v>Elettrofisiologia cardiaca</v>
      </c>
      <c r="G13" s="3" t="str">
        <f ca="1">IFERROR(__xludf.DUMMYFUNCTION("GOOGLETRANSLATE($A13,""en"",""zh-cn"")"),"心脏电生理学")</f>
        <v>心脏电生理学</v>
      </c>
      <c r="H13" s="3" t="str">
        <f ca="1">IFERROR(__xludf.DUMMYFUNCTION("GOOGLETRANSLATE($A13,""en"",""ja"")"),"心臓電気生理学")</f>
        <v>心臓電気生理学</v>
      </c>
      <c r="I13" s="3" t="str">
        <f ca="1">IFERROR(__xludf.DUMMYFUNCTION("GOOGLETRANSLATE($A13,""en"",""ko"")"),"심장 전기생리학")</f>
        <v>심장 전기생리학</v>
      </c>
      <c r="J13" s="3" t="str">
        <f ca="1">IFERROR(__xludf.DUMMYFUNCTION("GOOGLETRANSLATE($A13,""en"",""pt-BR"")"),"Eletrofisiologia Cardíaca")</f>
        <v>Eletrofisiologia Cardíaca</v>
      </c>
    </row>
    <row r="14" spans="1:25" ht="15.75" customHeight="1" x14ac:dyDescent="0.15">
      <c r="A14" s="9" t="str">
        <f ca="1">IFERROR(__xludf.DUMMYFUNCTION("""COMPUTED_VALUE"""),"Cardiology")</f>
        <v>Cardiology</v>
      </c>
      <c r="B14" s="9" t="str">
        <f ca="1">IFERROR(__xludf.DUMMYFUNCTION("""COMPUTED_VALUE"""),"CD")</f>
        <v>CD</v>
      </c>
      <c r="C14" s="3" t="str">
        <f ca="1">IFERROR(__xludf.DUMMYFUNCTION("GOOGLETRANSLATE($A14,""en"",""de"")"),"Kardiologie")</f>
        <v>Kardiologie</v>
      </c>
      <c r="D14" s="3" t="str">
        <f ca="1">IFERROR(__xludf.DUMMYFUNCTION("GOOGLETRANSLATE($A14,""en"",""fr"")"),"Cardiologie")</f>
        <v>Cardiologie</v>
      </c>
      <c r="E14" s="3" t="str">
        <f ca="1">IFERROR(__xludf.DUMMYFUNCTION("GOOGLETRANSLATE($A14,""en"",""es"")"),"Cardiología")</f>
        <v>Cardiología</v>
      </c>
      <c r="F14" s="3" t="str">
        <f ca="1">IFERROR(__xludf.DUMMYFUNCTION("GOOGLETRANSLATE($A14,""en"",""it"")"),"Cardiologia")</f>
        <v>Cardiologia</v>
      </c>
      <c r="G14" s="3" t="str">
        <f ca="1">IFERROR(__xludf.DUMMYFUNCTION("GOOGLETRANSLATE($A14,""en"",""zh-cn"")"),"心脏病学")</f>
        <v>心脏病学</v>
      </c>
      <c r="H14" s="3" t="str">
        <f ca="1">IFERROR(__xludf.DUMMYFUNCTION("GOOGLETRANSLATE($A14,""en"",""ja"")"),"心臓病学")</f>
        <v>心臓病学</v>
      </c>
      <c r="I14" s="3" t="str">
        <f ca="1">IFERROR(__xludf.DUMMYFUNCTION("GOOGLETRANSLATE($A14,""en"",""ko"")"),"심장학")</f>
        <v>심장학</v>
      </c>
      <c r="J14" s="3" t="str">
        <f ca="1">IFERROR(__xludf.DUMMYFUNCTION("GOOGLETRANSLATE($A14,""en"",""pt-BR"")"),"Cardiologia")</f>
        <v>Cardiologia</v>
      </c>
    </row>
    <row r="15" spans="1:25" ht="15.75" customHeight="1" x14ac:dyDescent="0.15">
      <c r="A15" s="9" t="str">
        <f ca="1">IFERROR(__xludf.DUMMYFUNCTION("""COMPUTED_VALUE"""),"Cardiothoracic Surgery")</f>
        <v>Cardiothoracic Surgery</v>
      </c>
      <c r="B15" s="9" t="str">
        <f ca="1">IFERROR(__xludf.DUMMYFUNCTION("""COMPUTED_VALUE"""),"SUCT")</f>
        <v>SUCT</v>
      </c>
      <c r="C15" s="3" t="str">
        <f ca="1">IFERROR(__xludf.DUMMYFUNCTION("GOOGLETRANSLATE($A15,""en"",""de"")"),"Herz-Thorax-Chirurgie")</f>
        <v>Herz-Thorax-Chirurgie</v>
      </c>
      <c r="D15" s="3" t="str">
        <f ca="1">IFERROR(__xludf.DUMMYFUNCTION("GOOGLETRANSLATE($A15,""en"",""fr"")"),"Chirurgie cardiothoracique")</f>
        <v>Chirurgie cardiothoracique</v>
      </c>
      <c r="E15" s="3" t="str">
        <f ca="1">IFERROR(__xludf.DUMMYFUNCTION("GOOGLETRANSLATE($A15,""en"",""es"")"),"Cirugía cardiotorácica")</f>
        <v>Cirugía cardiotorácica</v>
      </c>
      <c r="F15" s="3" t="str">
        <f ca="1">IFERROR(__xludf.DUMMYFUNCTION("GOOGLETRANSLATE($A15,""en"",""it"")"),"Chirurgia cardiotoracica")</f>
        <v>Chirurgia cardiotoracica</v>
      </c>
      <c r="G15" s="3" t="str">
        <f ca="1">IFERROR(__xludf.DUMMYFUNCTION("GOOGLETRANSLATE($A15,""en"",""zh-cn"")"),"心胸外科")</f>
        <v>心胸外科</v>
      </c>
      <c r="H15" s="3" t="str">
        <f ca="1">IFERROR(__xludf.DUMMYFUNCTION("GOOGLETRANSLATE($A15,""en"",""ja"")"),"心臓胸部外科")</f>
        <v>心臓胸部外科</v>
      </c>
      <c r="I15" s="3" t="str">
        <f ca="1">IFERROR(__xludf.DUMMYFUNCTION("GOOGLETRANSLATE($A15,""en"",""ko"")"),"심장흉부외과")</f>
        <v>심장흉부외과</v>
      </c>
      <c r="J15" s="3" t="str">
        <f ca="1">IFERROR(__xludf.DUMMYFUNCTION("GOOGLETRANSLATE($A15,""en"",""pt-BR"")"),"Cirurgia cardiotoráxica")</f>
        <v>Cirurgia cardiotoráxica</v>
      </c>
    </row>
    <row r="16" spans="1:25" ht="15.75" customHeight="1" x14ac:dyDescent="0.15">
      <c r="A16" s="9" t="str">
        <f ca="1">IFERROR(__xludf.DUMMYFUNCTION("""COMPUTED_VALUE"""),"Colorectal Surgery")</f>
        <v>Colorectal Surgery</v>
      </c>
      <c r="B16" s="9" t="str">
        <f ca="1">IFERROR(__xludf.DUMMYFUNCTION("""COMPUTED_VALUE"""),"SUCR")</f>
        <v>SUCR</v>
      </c>
      <c r="C16" s="3" t="str">
        <f ca="1">IFERROR(__xludf.DUMMYFUNCTION("GOOGLETRANSLATE($A16,""en"",""de"")"),"Kolorektale Chirurgie")</f>
        <v>Kolorektale Chirurgie</v>
      </c>
      <c r="D16" s="3" t="str">
        <f ca="1">IFERROR(__xludf.DUMMYFUNCTION("GOOGLETRANSLATE($A16,""en"",""fr"")"),"Chirurgie colorectale")</f>
        <v>Chirurgie colorectale</v>
      </c>
      <c r="E16" s="3" t="str">
        <f ca="1">IFERROR(__xludf.DUMMYFUNCTION("GOOGLETRANSLATE($A16,""en"",""es"")"),"Cirugía Colorrectal")</f>
        <v>Cirugía Colorrectal</v>
      </c>
      <c r="F16" s="3" t="str">
        <f ca="1">IFERROR(__xludf.DUMMYFUNCTION("GOOGLETRANSLATE($A16,""en"",""it"")"),"Chirurgia colorettale")</f>
        <v>Chirurgia colorettale</v>
      </c>
      <c r="G16" s="3" t="str">
        <f ca="1">IFERROR(__xludf.DUMMYFUNCTION("GOOGLETRANSLATE($A16,""en"",""zh-cn"")"),"结直肠手术")</f>
        <v>结直肠手术</v>
      </c>
      <c r="H16" s="3" t="str">
        <f ca="1">IFERROR(__xludf.DUMMYFUNCTION("GOOGLETRANSLATE($A16,""en"",""ja"")"),"結腸直腸外科")</f>
        <v>結腸直腸外科</v>
      </c>
      <c r="I16" s="3" t="str">
        <f ca="1">IFERROR(__xludf.DUMMYFUNCTION("GOOGLETRANSLATE($A16,""en"",""ko"")"),"대장외과")</f>
        <v>대장외과</v>
      </c>
      <c r="J16" s="3" t="str">
        <f ca="1">IFERROR(__xludf.DUMMYFUNCTION("GOOGLETRANSLATE($A16,""en"",""pt-BR"")"),"Cirurgia Colorretal")</f>
        <v>Cirurgia Colorretal</v>
      </c>
    </row>
    <row r="17" spans="1:10" ht="15.75" customHeight="1" x14ac:dyDescent="0.15">
      <c r="A17" s="9" t="str">
        <f ca="1">IFERROR(__xludf.DUMMYFUNCTION("""COMPUTED_VALUE"""),"Dentistry")</f>
        <v>Dentistry</v>
      </c>
      <c r="B17" s="9" t="str">
        <f ca="1">IFERROR(__xludf.DUMMYFUNCTION("""COMPUTED_VALUE"""),"DT")</f>
        <v>DT</v>
      </c>
      <c r="C17" s="3" t="str">
        <f ca="1">IFERROR(__xludf.DUMMYFUNCTION("GOOGLETRANSLATE($A17,""en"",""de"")"),"Zahnheilkunde")</f>
        <v>Zahnheilkunde</v>
      </c>
      <c r="D17" s="3" t="str">
        <f ca="1">IFERROR(__xludf.DUMMYFUNCTION("GOOGLETRANSLATE($A17,""en"",""fr"")"),"Dentisterie")</f>
        <v>Dentisterie</v>
      </c>
      <c r="E17" s="3" t="str">
        <f ca="1">IFERROR(__xludf.DUMMYFUNCTION("GOOGLETRANSLATE($A17,""en"",""es"")"),"Odontología")</f>
        <v>Odontología</v>
      </c>
      <c r="F17" s="3" t="str">
        <f ca="1">IFERROR(__xludf.DUMMYFUNCTION("GOOGLETRANSLATE($A17,""en"",""it"")"),"Odontoiatria")</f>
        <v>Odontoiatria</v>
      </c>
      <c r="G17" s="3" t="str">
        <f ca="1">IFERROR(__xludf.DUMMYFUNCTION("GOOGLETRANSLATE($A17,""en"",""zh-cn"")"),"牙科")</f>
        <v>牙科</v>
      </c>
      <c r="H17" s="3" t="str">
        <f ca="1">IFERROR(__xludf.DUMMYFUNCTION("GOOGLETRANSLATE($A17,""en"",""ja"")"),"歯科")</f>
        <v>歯科</v>
      </c>
      <c r="I17" s="3" t="str">
        <f ca="1">IFERROR(__xludf.DUMMYFUNCTION("GOOGLETRANSLATE($A17,""en"",""ko"")"),"치과")</f>
        <v>치과</v>
      </c>
      <c r="J17" s="3" t="str">
        <f ca="1">IFERROR(__xludf.DUMMYFUNCTION("GOOGLETRANSLATE($A17,""en"",""pt-BR"")"),"Odontologia")</f>
        <v>Odontologia</v>
      </c>
    </row>
    <row r="18" spans="1:10" ht="15.75" customHeight="1" x14ac:dyDescent="0.15">
      <c r="A18" s="9" t="str">
        <f ca="1">IFERROR(__xludf.DUMMYFUNCTION("""COMPUTED_VALUE"""),"Dermatologic Surgery")</f>
        <v>Dermatologic Surgery</v>
      </c>
      <c r="B18" s="9" t="str">
        <f ca="1">IFERROR(__xludf.DUMMYFUNCTION("""COMPUTED_VALUE"""),"SUDM")</f>
        <v>SUDM</v>
      </c>
      <c r="C18" s="3" t="str">
        <f ca="1">IFERROR(__xludf.DUMMYFUNCTION("GOOGLETRANSLATE($A18,""en"",""de"")"),"Dermatologische Chirurgie")</f>
        <v>Dermatologische Chirurgie</v>
      </c>
      <c r="D18" s="3" t="str">
        <f ca="1">IFERROR(__xludf.DUMMYFUNCTION("GOOGLETRANSLATE($A18,""en"",""fr"")"),"Chirurgie dermatologique")</f>
        <v>Chirurgie dermatologique</v>
      </c>
      <c r="E18" s="3" t="str">
        <f ca="1">IFERROR(__xludf.DUMMYFUNCTION("GOOGLETRANSLATE($A18,""en"",""es"")"),"Cirugía Dermatológica")</f>
        <v>Cirugía Dermatológica</v>
      </c>
      <c r="F18" s="3" t="str">
        <f ca="1">IFERROR(__xludf.DUMMYFUNCTION("GOOGLETRANSLATE($A18,""en"",""it"")"),"Chirurgia dermatologica")</f>
        <v>Chirurgia dermatologica</v>
      </c>
      <c r="G18" s="3" t="str">
        <f ca="1">IFERROR(__xludf.DUMMYFUNCTION("GOOGLETRANSLATE($A18,""en"",""zh-cn"")"),"皮肤外科")</f>
        <v>皮肤外科</v>
      </c>
      <c r="H18" s="3" t="str">
        <f ca="1">IFERROR(__xludf.DUMMYFUNCTION("GOOGLETRANSLATE($A18,""en"",""ja"")"),"皮膚外科")</f>
        <v>皮膚外科</v>
      </c>
      <c r="I18" s="3" t="str">
        <f ca="1">IFERROR(__xludf.DUMMYFUNCTION("GOOGLETRANSLATE($A18,""en"",""ko"")"),"피부외과")</f>
        <v>피부외과</v>
      </c>
      <c r="J18" s="3" t="str">
        <f ca="1">IFERROR(__xludf.DUMMYFUNCTION("GOOGLETRANSLATE($A18,""en"",""pt-BR"")"),"Cirurgia Dermatológica")</f>
        <v>Cirurgia Dermatológica</v>
      </c>
    </row>
    <row r="19" spans="1:10" ht="15.75" customHeight="1" x14ac:dyDescent="0.15">
      <c r="A19" s="9" t="str">
        <f ca="1">IFERROR(__xludf.DUMMYFUNCTION("""COMPUTED_VALUE"""),"Dermatology")</f>
        <v>Dermatology</v>
      </c>
      <c r="B19" s="9" t="str">
        <f ca="1">IFERROR(__xludf.DUMMYFUNCTION("""COMPUTED_VALUE"""),"DM")</f>
        <v>DM</v>
      </c>
      <c r="C19" s="3" t="str">
        <f ca="1">IFERROR(__xludf.DUMMYFUNCTION("GOOGLETRANSLATE($A19,""en"",""de"")"),"Dermatologie")</f>
        <v>Dermatologie</v>
      </c>
      <c r="D19" s="3" t="str">
        <f ca="1">IFERROR(__xludf.DUMMYFUNCTION("GOOGLETRANSLATE($A19,""en"",""fr"")"),"Dermatologie")</f>
        <v>Dermatologie</v>
      </c>
      <c r="E19" s="3" t="str">
        <f ca="1">IFERROR(__xludf.DUMMYFUNCTION("GOOGLETRANSLATE($A19,""en"",""es"")"),"Dermatología")</f>
        <v>Dermatología</v>
      </c>
      <c r="F19" s="3" t="str">
        <f ca="1">IFERROR(__xludf.DUMMYFUNCTION("GOOGLETRANSLATE($A19,""en"",""it"")"),"Dermatologia")</f>
        <v>Dermatologia</v>
      </c>
      <c r="G19" s="3" t="str">
        <f ca="1">IFERROR(__xludf.DUMMYFUNCTION("GOOGLETRANSLATE($A19,""en"",""zh-cn"")"),"皮肤科")</f>
        <v>皮肤科</v>
      </c>
      <c r="H19" s="3" t="str">
        <f ca="1">IFERROR(__xludf.DUMMYFUNCTION("GOOGLETRANSLATE($A19,""en"",""ja"")"),"皮膚科")</f>
        <v>皮膚科</v>
      </c>
      <c r="I19" s="3" t="str">
        <f ca="1">IFERROR(__xludf.DUMMYFUNCTION("GOOGLETRANSLATE($A19,""en"",""ko"")"),"피부과")</f>
        <v>피부과</v>
      </c>
      <c r="J19" s="3" t="str">
        <f ca="1">IFERROR(__xludf.DUMMYFUNCTION("GOOGLETRANSLATE($A19,""en"",""pt-BR"")"),"Dermatologia")</f>
        <v>Dermatologia</v>
      </c>
    </row>
    <row r="20" spans="1:10" ht="15.75" customHeight="1" x14ac:dyDescent="0.15">
      <c r="A20" s="9" t="str">
        <f ca="1">IFERROR(__xludf.DUMMYFUNCTION("""COMPUTED_VALUE"""),"Diabetes")</f>
        <v>Diabetes</v>
      </c>
      <c r="B20" s="9" t="str">
        <f ca="1">IFERROR(__xludf.DUMMYFUNCTION("""COMPUTED_VALUE"""),"EDDM")</f>
        <v>EDDM</v>
      </c>
      <c r="C20" s="3" t="str">
        <f ca="1">IFERROR(__xludf.DUMMYFUNCTION("GOOGLETRANSLATE($A20,""en"",""de"")"),"Diabetes")</f>
        <v>Diabetes</v>
      </c>
      <c r="D20" s="3" t="str">
        <f ca="1">IFERROR(__xludf.DUMMYFUNCTION("GOOGLETRANSLATE($A20,""en"",""fr"")"),"Diabète")</f>
        <v>Diabète</v>
      </c>
      <c r="E20" s="3" t="str">
        <f ca="1">IFERROR(__xludf.DUMMYFUNCTION("GOOGLETRANSLATE($A20,""en"",""es"")"),"Diabetes")</f>
        <v>Diabetes</v>
      </c>
      <c r="F20" s="3" t="str">
        <f ca="1">IFERROR(__xludf.DUMMYFUNCTION("GOOGLETRANSLATE($A20,""en"",""it"")"),"Diabete")</f>
        <v>Diabete</v>
      </c>
      <c r="G20" s="3" t="str">
        <f ca="1">IFERROR(__xludf.DUMMYFUNCTION("GOOGLETRANSLATE($A20,""en"",""zh-cn"")"),"糖尿病")</f>
        <v>糖尿病</v>
      </c>
      <c r="H20" s="3" t="str">
        <f ca="1">IFERROR(__xludf.DUMMYFUNCTION("GOOGLETRANSLATE($A20,""en"",""ja"")"),"糖尿病")</f>
        <v>糖尿病</v>
      </c>
      <c r="I20" s="3" t="str">
        <f ca="1">IFERROR(__xludf.DUMMYFUNCTION("GOOGLETRANSLATE($A20,""en"",""ko"")"),"당뇨병")</f>
        <v>당뇨병</v>
      </c>
      <c r="J20" s="3" t="str">
        <f ca="1">IFERROR(__xludf.DUMMYFUNCTION("GOOGLETRANSLATE($A20,""en"",""pt-BR"")"),"Diabetes")</f>
        <v>Diabetes</v>
      </c>
    </row>
    <row r="21" spans="1:10" ht="15.75" customHeight="1" x14ac:dyDescent="0.15">
      <c r="A21" s="9" t="str">
        <f ca="1">IFERROR(__xludf.DUMMYFUNCTION("""COMPUTED_VALUE"""),"Emergency Medicine")</f>
        <v>Emergency Medicine</v>
      </c>
      <c r="B21" s="9" t="str">
        <f ca="1">IFERROR(__xludf.DUMMYFUNCTION("""COMPUTED_VALUE"""),"EM")</f>
        <v>EM</v>
      </c>
      <c r="C21" s="3" t="str">
        <f ca="1">IFERROR(__xludf.DUMMYFUNCTION("GOOGLETRANSLATE($A21,""en"",""de"")"),"Notfallmedizin")</f>
        <v>Notfallmedizin</v>
      </c>
      <c r="D21" s="3" t="str">
        <f ca="1">IFERROR(__xludf.DUMMYFUNCTION("GOOGLETRANSLATE($A21,""en"",""fr"")"),"Médecine d'urgence")</f>
        <v>Médecine d'urgence</v>
      </c>
      <c r="E21" s="3" t="str">
        <f ca="1">IFERROR(__xludf.DUMMYFUNCTION("GOOGLETRANSLATE($A21,""en"",""es"")"),"Medicina de emergencia")</f>
        <v>Medicina de emergencia</v>
      </c>
      <c r="F21" s="3" t="str">
        <f ca="1">IFERROR(__xludf.DUMMYFUNCTION("GOOGLETRANSLATE($A21,""en"",""it"")"),"Medicina d'emergenza")</f>
        <v>Medicina d'emergenza</v>
      </c>
      <c r="G21" s="3" t="str">
        <f ca="1">IFERROR(__xludf.DUMMYFUNCTION("GOOGLETRANSLATE($A21,""en"",""zh-cn"")"),"急诊医学")</f>
        <v>急诊医学</v>
      </c>
      <c r="H21" s="3" t="str">
        <f ca="1">IFERROR(__xludf.DUMMYFUNCTION("GOOGLETRANSLATE($A21,""en"",""ja"")"),"救急医療")</f>
        <v>救急医療</v>
      </c>
      <c r="I21" s="3" t="str">
        <f ca="1">IFERROR(__xludf.DUMMYFUNCTION("GOOGLETRANSLATE($A21,""en"",""ko"")"),"응급 의료품")</f>
        <v>응급 의료품</v>
      </c>
      <c r="J21" s="3" t="str">
        <f ca="1">IFERROR(__xludf.DUMMYFUNCTION("GOOGLETRANSLATE($A21,""en"",""pt-BR"")"),"Medicamento de emergência")</f>
        <v>Medicamento de emergência</v>
      </c>
    </row>
    <row r="22" spans="1:10" ht="15.75" customHeight="1" x14ac:dyDescent="0.15">
      <c r="A22" s="9" t="str">
        <f ca="1">IFERROR(__xludf.DUMMYFUNCTION("""COMPUTED_VALUE"""),"Endocrinology")</f>
        <v>Endocrinology</v>
      </c>
      <c r="B22" s="9" t="str">
        <f ca="1">IFERROR(__xludf.DUMMYFUNCTION("""COMPUTED_VALUE"""),"ED")</f>
        <v>ED</v>
      </c>
      <c r="C22" s="3" t="str">
        <f ca="1">IFERROR(__xludf.DUMMYFUNCTION("GOOGLETRANSLATE($A22,""en"",""de"")"),"Endokrinologie")</f>
        <v>Endokrinologie</v>
      </c>
      <c r="D22" s="3" t="str">
        <f ca="1">IFERROR(__xludf.DUMMYFUNCTION("GOOGLETRANSLATE($A22,""en"",""fr"")"),"Endocrinologie")</f>
        <v>Endocrinologie</v>
      </c>
      <c r="E22" s="3" t="str">
        <f ca="1">IFERROR(__xludf.DUMMYFUNCTION("GOOGLETRANSLATE($A22,""en"",""es"")"),"Endocrinología")</f>
        <v>Endocrinología</v>
      </c>
      <c r="F22" s="3" t="str">
        <f ca="1">IFERROR(__xludf.DUMMYFUNCTION("GOOGLETRANSLATE($A22,""en"",""it"")"),"Endocrinologia")</f>
        <v>Endocrinologia</v>
      </c>
      <c r="G22" s="3" t="str">
        <f ca="1">IFERROR(__xludf.DUMMYFUNCTION("GOOGLETRANSLATE($A22,""en"",""zh-cn"")"),"内分泌科")</f>
        <v>内分泌科</v>
      </c>
      <c r="H22" s="3" t="str">
        <f ca="1">IFERROR(__xludf.DUMMYFUNCTION("GOOGLETRANSLATE($A22,""en"",""ja"")"),"内分泌学")</f>
        <v>内分泌学</v>
      </c>
      <c r="I22" s="3" t="str">
        <f ca="1">IFERROR(__xludf.DUMMYFUNCTION("GOOGLETRANSLATE($A22,""en"",""ko"")"),"내분비학")</f>
        <v>내분비학</v>
      </c>
      <c r="J22" s="3" t="str">
        <f ca="1">IFERROR(__xludf.DUMMYFUNCTION("GOOGLETRANSLATE($A22,""en"",""pt-BR"")"),"Endocrinologia")</f>
        <v>Endocrinologia</v>
      </c>
    </row>
    <row r="23" spans="1:10" ht="15.75" customHeight="1" x14ac:dyDescent="0.15">
      <c r="A23" s="9" t="str">
        <f ca="1">IFERROR(__xludf.DUMMYFUNCTION("""COMPUTED_VALUE"""),"Endoscopy")</f>
        <v>Endoscopy</v>
      </c>
      <c r="B23" s="9" t="str">
        <f ca="1">IFERROR(__xludf.DUMMYFUNCTION("""COMPUTED_VALUE"""),"IMEN")</f>
        <v>IMEN</v>
      </c>
      <c r="C23" s="3" t="str">
        <f ca="1">IFERROR(__xludf.DUMMYFUNCTION("GOOGLETRANSLATE($A23,""en"",""de"")"),"Endoskopie")</f>
        <v>Endoskopie</v>
      </c>
      <c r="D23" s="3" t="str">
        <f ca="1">IFERROR(__xludf.DUMMYFUNCTION("GOOGLETRANSLATE($A23,""en"",""fr"")"),"Endoscopie")</f>
        <v>Endoscopie</v>
      </c>
      <c r="E23" s="3" t="str">
        <f ca="1">IFERROR(__xludf.DUMMYFUNCTION("GOOGLETRANSLATE($A23,""en"",""es"")"),"Endoscopia")</f>
        <v>Endoscopia</v>
      </c>
      <c r="F23" s="3" t="str">
        <f ca="1">IFERROR(__xludf.DUMMYFUNCTION("GOOGLETRANSLATE($A23,""en"",""it"")"),"Endoscopia")</f>
        <v>Endoscopia</v>
      </c>
      <c r="G23" s="3" t="str">
        <f ca="1">IFERROR(__xludf.DUMMYFUNCTION("GOOGLETRANSLATE($A23,""en"",""zh-cn"")"),"内窥镜检查")</f>
        <v>内窥镜检查</v>
      </c>
      <c r="H23" s="3" t="str">
        <f ca="1">IFERROR(__xludf.DUMMYFUNCTION("GOOGLETRANSLATE($A23,""en"",""ja"")"),"内視鏡検査")</f>
        <v>内視鏡検査</v>
      </c>
      <c r="I23" s="3" t="str">
        <f ca="1">IFERROR(__xludf.DUMMYFUNCTION("GOOGLETRANSLATE($A23,""en"",""ko"")"),"내시경검사")</f>
        <v>내시경검사</v>
      </c>
      <c r="J23" s="3" t="str">
        <f ca="1">IFERROR(__xludf.DUMMYFUNCTION("GOOGLETRANSLATE($A23,""en"",""pt-BR"")"),"Endoscopia")</f>
        <v>Endoscopia</v>
      </c>
    </row>
    <row r="24" spans="1:10" ht="15.75" customHeight="1" x14ac:dyDescent="0.15">
      <c r="A24" s="9" t="str">
        <f ca="1">IFERROR(__xludf.DUMMYFUNCTION("""COMPUTED_VALUE"""),"Family Medicine")</f>
        <v>Family Medicine</v>
      </c>
      <c r="B24" s="9" t="str">
        <f ca="1">IFERROR(__xludf.DUMMYFUNCTION("""COMPUTED_VALUE"""),"GPFM")</f>
        <v>GPFM</v>
      </c>
      <c r="C24" s="3" t="str">
        <f ca="1">IFERROR(__xludf.DUMMYFUNCTION("GOOGLETRANSLATE($A24,""en"",""de"")"),"Familienmedizin")</f>
        <v>Familienmedizin</v>
      </c>
      <c r="D24" s="3" t="str">
        <f ca="1">IFERROR(__xludf.DUMMYFUNCTION("GOOGLETRANSLATE($A24,""en"",""fr"")"),"Médecine familiale")</f>
        <v>Médecine familiale</v>
      </c>
      <c r="E24" s="3" t="str">
        <f ca="1">IFERROR(__xludf.DUMMYFUNCTION("GOOGLETRANSLATE($A24,""en"",""es"")"),"Medicina Familiar")</f>
        <v>Medicina Familiar</v>
      </c>
      <c r="F24" s="3" t="str">
        <f ca="1">IFERROR(__xludf.DUMMYFUNCTION("GOOGLETRANSLATE($A24,""en"",""it"")"),"Medicina di famiglia")</f>
        <v>Medicina di famiglia</v>
      </c>
      <c r="G24" s="3" t="str">
        <f ca="1">IFERROR(__xludf.DUMMYFUNCTION("GOOGLETRANSLATE($A24,""en"",""zh-cn"")"),"家庭医学")</f>
        <v>家庭医学</v>
      </c>
      <c r="H24" s="3" t="str">
        <f ca="1">IFERROR(__xludf.DUMMYFUNCTION("GOOGLETRANSLATE($A24,""en"",""ja"")"),"常備薬")</f>
        <v>常備薬</v>
      </c>
      <c r="I24" s="3" t="str">
        <f ca="1">IFERROR(__xludf.DUMMYFUNCTION("GOOGLETRANSLATE($A24,""en"",""ko"")"),"가족 약")</f>
        <v>가족 약</v>
      </c>
      <c r="J24" s="3" t="str">
        <f ca="1">IFERROR(__xludf.DUMMYFUNCTION("GOOGLETRANSLATE($A24,""en"",""pt-BR"")"),"Medicina familiar")</f>
        <v>Medicina familiar</v>
      </c>
    </row>
    <row r="25" spans="1:10" ht="15.75" customHeight="1" x14ac:dyDescent="0.15">
      <c r="A25" s="9" t="str">
        <f ca="1">IFERROR(__xludf.DUMMYFUNCTION("""COMPUTED_VALUE"""),"Gastroenterology")</f>
        <v>Gastroenterology</v>
      </c>
      <c r="B25" s="9" t="str">
        <f ca="1">IFERROR(__xludf.DUMMYFUNCTION("""COMPUTED_VALUE"""),"GE")</f>
        <v>GE</v>
      </c>
      <c r="C25" s="3" t="str">
        <f ca="1">IFERROR(__xludf.DUMMYFUNCTION("GOOGLETRANSLATE($A25,""en"",""de"")"),"Gastroenterologie")</f>
        <v>Gastroenterologie</v>
      </c>
      <c r="D25" s="3" t="str">
        <f ca="1">IFERROR(__xludf.DUMMYFUNCTION("GOOGLETRANSLATE($A25,""en"",""fr"")"),"Gastro-entérologie")</f>
        <v>Gastro-entérologie</v>
      </c>
      <c r="E25" s="3" t="str">
        <f ca="1">IFERROR(__xludf.DUMMYFUNCTION("GOOGLETRANSLATE($A25,""en"",""es"")"),"Gastroenterología")</f>
        <v>Gastroenterología</v>
      </c>
      <c r="F25" s="3" t="str">
        <f ca="1">IFERROR(__xludf.DUMMYFUNCTION("GOOGLETRANSLATE($A25,""en"",""it"")"),"Gastroenterologia")</f>
        <v>Gastroenterologia</v>
      </c>
      <c r="G25" s="3" t="str">
        <f ca="1">IFERROR(__xludf.DUMMYFUNCTION("GOOGLETRANSLATE($A25,""en"",""zh-cn"")"),"胃肠病学")</f>
        <v>胃肠病学</v>
      </c>
      <c r="H25" s="3" t="str">
        <f ca="1">IFERROR(__xludf.DUMMYFUNCTION("GOOGLETRANSLATE($A25,""en"",""ja"")"),"消化器科")</f>
        <v>消化器科</v>
      </c>
      <c r="I25" s="3" t="str">
        <f ca="1">IFERROR(__xludf.DUMMYFUNCTION("GOOGLETRANSLATE($A25,""en"",""ko"")"),"위장병학")</f>
        <v>위장병학</v>
      </c>
      <c r="J25" s="3" t="str">
        <f ca="1">IFERROR(__xludf.DUMMYFUNCTION("GOOGLETRANSLATE($A25,""en"",""pt-BR"")"),"Gastroenterologia")</f>
        <v>Gastroenterologia</v>
      </c>
    </row>
    <row r="26" spans="1:10" ht="15.75" customHeight="1" x14ac:dyDescent="0.15">
      <c r="A26" s="9" t="str">
        <f ca="1">IFERROR(__xludf.DUMMYFUNCTION("""COMPUTED_VALUE"""),"General Practice")</f>
        <v>General Practice</v>
      </c>
      <c r="B26" s="9" t="str">
        <f ca="1">IFERROR(__xludf.DUMMYFUNCTION("""COMPUTED_VALUE"""),"GP")</f>
        <v>GP</v>
      </c>
      <c r="C26" s="3" t="str">
        <f ca="1">IFERROR(__xludf.DUMMYFUNCTION("GOOGLETRANSLATE($A26,""en"",""de"")"),"Allgemeine Praxis")</f>
        <v>Allgemeine Praxis</v>
      </c>
      <c r="D26" s="3" t="str">
        <f ca="1">IFERROR(__xludf.DUMMYFUNCTION("GOOGLETRANSLATE($A26,""en"",""fr"")"),"Pratique générale")</f>
        <v>Pratique générale</v>
      </c>
      <c r="E26" s="3" t="str">
        <f ca="1">IFERROR(__xludf.DUMMYFUNCTION("GOOGLETRANSLATE($A26,""en"",""es"")"),"Práctica general")</f>
        <v>Práctica general</v>
      </c>
      <c r="F26" s="3" t="str">
        <f ca="1">IFERROR(__xludf.DUMMYFUNCTION("GOOGLETRANSLATE($A26,""en"",""it"")"),"Pratica generale")</f>
        <v>Pratica generale</v>
      </c>
      <c r="G26" s="3" t="str">
        <f ca="1">IFERROR(__xludf.DUMMYFUNCTION("GOOGLETRANSLATE($A26,""en"",""zh-cn"")"),"一般实践")</f>
        <v>一般实践</v>
      </c>
      <c r="H26" s="3" t="str">
        <f ca="1">IFERROR(__xludf.DUMMYFUNCTION("GOOGLETRANSLATE($A26,""en"",""ja"")"),"一般診療")</f>
        <v>一般診療</v>
      </c>
      <c r="I26" s="3" t="str">
        <f ca="1">IFERROR(__xludf.DUMMYFUNCTION("GOOGLETRANSLATE($A26,""en"",""ko"")"),"일반 실습")</f>
        <v>일반 실습</v>
      </c>
      <c r="J26" s="3" t="str">
        <f ca="1">IFERROR(__xludf.DUMMYFUNCTION("GOOGLETRANSLATE($A26,""en"",""pt-BR"")"),"Prática geral")</f>
        <v>Prática geral</v>
      </c>
    </row>
    <row r="27" spans="1:10" ht="15.75" customHeight="1" x14ac:dyDescent="0.15">
      <c r="A27" s="9" t="str">
        <f ca="1">IFERROR(__xludf.DUMMYFUNCTION("""COMPUTED_VALUE"""),"Genetics")</f>
        <v>Genetics</v>
      </c>
      <c r="B27" s="9" t="str">
        <f ca="1">IFERROR(__xludf.DUMMYFUNCTION("""COMPUTED_VALUE"""),"GN")</f>
        <v>GN</v>
      </c>
      <c r="C27" s="3" t="str">
        <f ca="1">IFERROR(__xludf.DUMMYFUNCTION("GOOGLETRANSLATE($A27,""en"",""de"")"),"Genetik")</f>
        <v>Genetik</v>
      </c>
      <c r="D27" s="3" t="str">
        <f ca="1">IFERROR(__xludf.DUMMYFUNCTION("GOOGLETRANSLATE($A27,""en"",""fr"")"),"La génétique")</f>
        <v>La génétique</v>
      </c>
      <c r="E27" s="3" t="str">
        <f ca="1">IFERROR(__xludf.DUMMYFUNCTION("GOOGLETRANSLATE($A27,""en"",""es"")"),"Genética")</f>
        <v>Genética</v>
      </c>
      <c r="F27" s="3" t="str">
        <f ca="1">IFERROR(__xludf.DUMMYFUNCTION("GOOGLETRANSLATE($A27,""en"",""it"")"),"Genetica")</f>
        <v>Genetica</v>
      </c>
      <c r="G27" s="3" t="str">
        <f ca="1">IFERROR(__xludf.DUMMYFUNCTION("GOOGLETRANSLATE($A27,""en"",""zh-cn"")"),"遗传学")</f>
        <v>遗传学</v>
      </c>
      <c r="H27" s="3" t="str">
        <f ca="1">IFERROR(__xludf.DUMMYFUNCTION("GOOGLETRANSLATE($A27,""en"",""ja"")"),"遺伝学")</f>
        <v>遺伝学</v>
      </c>
      <c r="I27" s="3" t="str">
        <f ca="1">IFERROR(__xludf.DUMMYFUNCTION("GOOGLETRANSLATE($A27,""en"",""ko"")"),"유전학")</f>
        <v>유전학</v>
      </c>
      <c r="J27" s="3" t="str">
        <f ca="1">IFERROR(__xludf.DUMMYFUNCTION("GOOGLETRANSLATE($A27,""en"",""pt-BR"")"),"Genética")</f>
        <v>Genética</v>
      </c>
    </row>
    <row r="28" spans="1:10" ht="15.75" customHeight="1" x14ac:dyDescent="0.15">
      <c r="A28" s="9" t="str">
        <f ca="1">IFERROR(__xludf.DUMMYFUNCTION("""COMPUTED_VALUE"""),"Geriatric Psychiatry")</f>
        <v>Geriatric Psychiatry</v>
      </c>
      <c r="B28" s="9" t="str">
        <f ca="1">IFERROR(__xludf.DUMMYFUNCTION("""COMPUTED_VALUE"""),"GRPY")</f>
        <v>GRPY</v>
      </c>
      <c r="C28" s="3" t="str">
        <f ca="1">IFERROR(__xludf.DUMMYFUNCTION("GOOGLETRANSLATE($A28,""en"",""de"")"),"Geriatrische Psychiatrie")</f>
        <v>Geriatrische Psychiatrie</v>
      </c>
      <c r="D28" s="3" t="str">
        <f ca="1">IFERROR(__xludf.DUMMYFUNCTION("GOOGLETRANSLATE($A28,""en"",""fr"")"),"Psychiatrie gériatrique")</f>
        <v>Psychiatrie gériatrique</v>
      </c>
      <c r="E28" s="3" t="str">
        <f ca="1">IFERROR(__xludf.DUMMYFUNCTION("GOOGLETRANSLATE($A28,""en"",""es"")"),"Psiquiatría geriátrica")</f>
        <v>Psiquiatría geriátrica</v>
      </c>
      <c r="F28" s="3" t="str">
        <f ca="1">IFERROR(__xludf.DUMMYFUNCTION("GOOGLETRANSLATE($A28,""en"",""it"")"),"Psichiatria geriatrica")</f>
        <v>Psichiatria geriatrica</v>
      </c>
      <c r="G28" s="3" t="str">
        <f ca="1">IFERROR(__xludf.DUMMYFUNCTION("GOOGLETRANSLATE($A28,""en"",""zh-cn"")"),"老年精神病学")</f>
        <v>老年精神病学</v>
      </c>
      <c r="H28" s="3" t="str">
        <f ca="1">IFERROR(__xludf.DUMMYFUNCTION("GOOGLETRANSLATE($A28,""en"",""ja"")"),"老年精神医学")</f>
        <v>老年精神医学</v>
      </c>
      <c r="I28" s="3" t="str">
        <f ca="1">IFERROR(__xludf.DUMMYFUNCTION("GOOGLETRANSLATE($A28,""en"",""ko"")"),"노인정신과")</f>
        <v>노인정신과</v>
      </c>
      <c r="J28" s="3" t="str">
        <f ca="1">IFERROR(__xludf.DUMMYFUNCTION("GOOGLETRANSLATE($A28,""en"",""pt-BR"")"),"Psiquiatria Geriátrica")</f>
        <v>Psiquiatria Geriátrica</v>
      </c>
    </row>
    <row r="29" spans="1:10" ht="15.75" customHeight="1" x14ac:dyDescent="0.15">
      <c r="A29" s="9" t="str">
        <f ca="1">IFERROR(__xludf.DUMMYFUNCTION("""COMPUTED_VALUE"""),"Geriatrics")</f>
        <v>Geriatrics</v>
      </c>
      <c r="B29" s="9" t="str">
        <f ca="1">IFERROR(__xludf.DUMMYFUNCTION("""COMPUTED_VALUE"""),"GR")</f>
        <v>GR</v>
      </c>
      <c r="C29" s="3" t="str">
        <f ca="1">IFERROR(__xludf.DUMMYFUNCTION("GOOGLETRANSLATE($A29,""en"",""de"")"),"Geriatrie")</f>
        <v>Geriatrie</v>
      </c>
      <c r="D29" s="3" t="str">
        <f ca="1">IFERROR(__xludf.DUMMYFUNCTION("GOOGLETRANSLATE($A29,""en"",""fr"")"),"Gériatrie")</f>
        <v>Gériatrie</v>
      </c>
      <c r="E29" s="3" t="str">
        <f ca="1">IFERROR(__xludf.DUMMYFUNCTION("GOOGLETRANSLATE($A29,""en"",""es"")"),"Geriatría")</f>
        <v>Geriatría</v>
      </c>
      <c r="F29" s="3" t="str">
        <f ca="1">IFERROR(__xludf.DUMMYFUNCTION("GOOGLETRANSLATE($A29,""en"",""it"")"),"Geriatria")</f>
        <v>Geriatria</v>
      </c>
      <c r="G29" s="3" t="str">
        <f ca="1">IFERROR(__xludf.DUMMYFUNCTION("GOOGLETRANSLATE($A29,""en"",""zh-cn"")"),"老年医学")</f>
        <v>老年医学</v>
      </c>
      <c r="H29" s="3" t="str">
        <f ca="1">IFERROR(__xludf.DUMMYFUNCTION("GOOGLETRANSLATE($A29,""en"",""ja"")"),"老人医学")</f>
        <v>老人医学</v>
      </c>
      <c r="I29" s="3" t="str">
        <f ca="1">IFERROR(__xludf.DUMMYFUNCTION("GOOGLETRANSLATE($A29,""en"",""ko"")"),"노인의학")</f>
        <v>노인의학</v>
      </c>
      <c r="J29" s="3" t="str">
        <f ca="1">IFERROR(__xludf.DUMMYFUNCTION("GOOGLETRANSLATE($A29,""en"",""pt-BR"")"),"Geriatria")</f>
        <v>Geriatria</v>
      </c>
    </row>
    <row r="30" spans="1:10" ht="15.75" customHeight="1" x14ac:dyDescent="0.15">
      <c r="A30" s="9" t="str">
        <f ca="1">IFERROR(__xludf.DUMMYFUNCTION("""COMPUTED_VALUE"""),"Gynecological Oncology")</f>
        <v>Gynecological Oncology</v>
      </c>
      <c r="B30" s="9" t="str">
        <f ca="1">IFERROR(__xludf.DUMMYFUNCTION("""COMPUTED_VALUE"""),"ONGY")</f>
        <v>ONGY</v>
      </c>
      <c r="C30" s="3" t="str">
        <f ca="1">IFERROR(__xludf.DUMMYFUNCTION("GOOGLETRANSLATE($A30,""en"",""de"")"),"Gynäkologische Onkologie")</f>
        <v>Gynäkologische Onkologie</v>
      </c>
      <c r="D30" s="3" t="str">
        <f ca="1">IFERROR(__xludf.DUMMYFUNCTION("GOOGLETRANSLATE($A30,""en"",""fr"")"),"Oncologie gynécologique")</f>
        <v>Oncologie gynécologique</v>
      </c>
      <c r="E30" s="3" t="str">
        <f ca="1">IFERROR(__xludf.DUMMYFUNCTION("GOOGLETRANSLATE($A30,""en"",""es"")"),"Oncología Ginecológica")</f>
        <v>Oncología Ginecológica</v>
      </c>
      <c r="F30" s="3" t="str">
        <f ca="1">IFERROR(__xludf.DUMMYFUNCTION("GOOGLETRANSLATE($A30,""en"",""it"")"),"Oncologia ginecologica")</f>
        <v>Oncologia ginecologica</v>
      </c>
      <c r="G30" s="3" t="str">
        <f ca="1">IFERROR(__xludf.DUMMYFUNCTION("GOOGLETRANSLATE($A30,""en"",""zh-cn"")"),"妇科肿瘤科")</f>
        <v>妇科肿瘤科</v>
      </c>
      <c r="H30" s="3" t="str">
        <f ca="1">IFERROR(__xludf.DUMMYFUNCTION("GOOGLETRANSLATE($A30,""en"",""ja"")"),"婦人科腫瘍学")</f>
        <v>婦人科腫瘍学</v>
      </c>
      <c r="I30" s="3" t="str">
        <f ca="1">IFERROR(__xludf.DUMMYFUNCTION("GOOGLETRANSLATE($A30,""en"",""ko"")"),"부인과 종양학")</f>
        <v>부인과 종양학</v>
      </c>
      <c r="J30" s="3" t="str">
        <f ca="1">IFERROR(__xludf.DUMMYFUNCTION("GOOGLETRANSLATE($A30,""en"",""pt-BR"")"),"Oncologia Ginecológica")</f>
        <v>Oncologia Ginecológica</v>
      </c>
    </row>
    <row r="31" spans="1:10" ht="15.75" customHeight="1" x14ac:dyDescent="0.15">
      <c r="A31" s="9" t="str">
        <f ca="1">IFERROR(__xludf.DUMMYFUNCTION("""COMPUTED_VALUE"""),"Gynecology")</f>
        <v>Gynecology</v>
      </c>
      <c r="B31" s="9" t="str">
        <f ca="1">IFERROR(__xludf.DUMMYFUNCTION("""COMPUTED_VALUE"""),"GY")</f>
        <v>GY</v>
      </c>
      <c r="C31" s="3" t="str">
        <f ca="1">IFERROR(__xludf.DUMMYFUNCTION("GOOGLETRANSLATE($A31,""en"",""de"")"),"Gynäkologie")</f>
        <v>Gynäkologie</v>
      </c>
      <c r="D31" s="3" t="str">
        <f ca="1">IFERROR(__xludf.DUMMYFUNCTION("GOOGLETRANSLATE($A31,""en"",""fr"")"),"Gynécologie")</f>
        <v>Gynécologie</v>
      </c>
      <c r="E31" s="3" t="str">
        <f ca="1">IFERROR(__xludf.DUMMYFUNCTION("GOOGLETRANSLATE($A31,""en"",""es"")"),"Ginecología")</f>
        <v>Ginecología</v>
      </c>
      <c r="F31" s="3" t="str">
        <f ca="1">IFERROR(__xludf.DUMMYFUNCTION("GOOGLETRANSLATE($A31,""en"",""it"")"),"Ginecologia")</f>
        <v>Ginecologia</v>
      </c>
      <c r="G31" s="3" t="str">
        <f ca="1">IFERROR(__xludf.DUMMYFUNCTION("GOOGLETRANSLATE($A31,""en"",""zh-cn"")"),"妇科")</f>
        <v>妇科</v>
      </c>
      <c r="H31" s="3" t="str">
        <f ca="1">IFERROR(__xludf.DUMMYFUNCTION("GOOGLETRANSLATE($A31,""en"",""ja"")"),"婦人科")</f>
        <v>婦人科</v>
      </c>
      <c r="I31" s="3" t="str">
        <f ca="1">IFERROR(__xludf.DUMMYFUNCTION("GOOGLETRANSLATE($A31,""en"",""ko"")"),"산부인과")</f>
        <v>산부인과</v>
      </c>
      <c r="J31" s="3" t="str">
        <f ca="1">IFERROR(__xludf.DUMMYFUNCTION("GOOGLETRANSLATE($A31,""en"",""pt-BR"")"),"Ginecologia")</f>
        <v>Ginecologia</v>
      </c>
    </row>
    <row r="32" spans="1:10" ht="15.75" customHeight="1" x14ac:dyDescent="0.15">
      <c r="A32" s="9" t="str">
        <f ca="1">IFERROR(__xludf.DUMMYFUNCTION("""COMPUTED_VALUE"""),"Hand Surgery")</f>
        <v>Hand Surgery</v>
      </c>
      <c r="B32" s="9" t="str">
        <f ca="1">IFERROR(__xludf.DUMMYFUNCTION("""COMPUTED_VALUE"""),"SUHN")</f>
        <v>SUHN</v>
      </c>
      <c r="C32" s="3" t="str">
        <f ca="1">IFERROR(__xludf.DUMMYFUNCTION("GOOGLETRANSLATE($A32,""en"",""de"")"),"Handchirurgie")</f>
        <v>Handchirurgie</v>
      </c>
      <c r="D32" s="3" t="str">
        <f ca="1">IFERROR(__xludf.DUMMYFUNCTION("GOOGLETRANSLATE($A32,""en"",""fr"")"),"Chirurgie de la main")</f>
        <v>Chirurgie de la main</v>
      </c>
      <c r="E32" s="3" t="str">
        <f ca="1">IFERROR(__xludf.DUMMYFUNCTION("GOOGLETRANSLATE($A32,""en"",""es"")"),"Cirugía de la mano")</f>
        <v>Cirugía de la mano</v>
      </c>
      <c r="F32" s="3" t="str">
        <f ca="1">IFERROR(__xludf.DUMMYFUNCTION("GOOGLETRANSLATE($A32,""en"",""it"")"),"Chirurgia della mano")</f>
        <v>Chirurgia della mano</v>
      </c>
      <c r="G32" s="3" t="str">
        <f ca="1">IFERROR(__xludf.DUMMYFUNCTION("GOOGLETRANSLATE($A32,""en"",""zh-cn"")"),"手外科")</f>
        <v>手外科</v>
      </c>
      <c r="H32" s="3" t="str">
        <f ca="1">IFERROR(__xludf.DUMMYFUNCTION("GOOGLETRANSLATE($A32,""en"",""ja"")"),"手の手術")</f>
        <v>手の手術</v>
      </c>
      <c r="I32" s="3" t="str">
        <f ca="1">IFERROR(__xludf.DUMMYFUNCTION("GOOGLETRANSLATE($A32,""en"",""ko"")"),"손 수술")</f>
        <v>손 수술</v>
      </c>
      <c r="J32" s="3" t="str">
        <f ca="1">IFERROR(__xludf.DUMMYFUNCTION("GOOGLETRANSLATE($A32,""en"",""pt-BR"")"),"Cirurgia da Mão")</f>
        <v>Cirurgia da Mão</v>
      </c>
    </row>
    <row r="33" spans="1:10" ht="15.75" customHeight="1" x14ac:dyDescent="0.15">
      <c r="A33" s="9" t="str">
        <f ca="1">IFERROR(__xludf.DUMMYFUNCTION("""COMPUTED_VALUE"""),"Hematology")</f>
        <v>Hematology</v>
      </c>
      <c r="B33" s="9" t="str">
        <f ca="1">IFERROR(__xludf.DUMMYFUNCTION("""COMPUTED_VALUE"""),"HM")</f>
        <v>HM</v>
      </c>
      <c r="C33" s="3" t="str">
        <f ca="1">IFERROR(__xludf.DUMMYFUNCTION("GOOGLETRANSLATE($A33,""en"",""de"")"),"Hämatologie")</f>
        <v>Hämatologie</v>
      </c>
      <c r="D33" s="3" t="str">
        <f ca="1">IFERROR(__xludf.DUMMYFUNCTION("GOOGLETRANSLATE($A33,""en"",""fr"")"),"Hématologie")</f>
        <v>Hématologie</v>
      </c>
      <c r="E33" s="3" t="str">
        <f ca="1">IFERROR(__xludf.DUMMYFUNCTION("GOOGLETRANSLATE($A33,""en"",""es"")"),"Hematología")</f>
        <v>Hematología</v>
      </c>
      <c r="F33" s="3" t="str">
        <f ca="1">IFERROR(__xludf.DUMMYFUNCTION("GOOGLETRANSLATE($A33,""en"",""it"")"),"Ematologia")</f>
        <v>Ematologia</v>
      </c>
      <c r="G33" s="3" t="str">
        <f ca="1">IFERROR(__xludf.DUMMYFUNCTION("GOOGLETRANSLATE($A33,""en"",""zh-cn"")"),"血液学")</f>
        <v>血液学</v>
      </c>
      <c r="H33" s="3" t="str">
        <f ca="1">IFERROR(__xludf.DUMMYFUNCTION("GOOGLETRANSLATE($A33,""en"",""ja"")"),"血液学")</f>
        <v>血液学</v>
      </c>
      <c r="I33" s="3" t="str">
        <f ca="1">IFERROR(__xludf.DUMMYFUNCTION("GOOGLETRANSLATE($A33,""en"",""ko"")"),"혈액학")</f>
        <v>혈액학</v>
      </c>
      <c r="J33" s="3" t="str">
        <f ca="1">IFERROR(__xludf.DUMMYFUNCTION("GOOGLETRANSLATE($A33,""en"",""pt-BR"")"),"Hematologia")</f>
        <v>Hematologia</v>
      </c>
    </row>
    <row r="34" spans="1:10" ht="15.75" customHeight="1" x14ac:dyDescent="0.15">
      <c r="A34" s="9" t="str">
        <f ca="1">IFERROR(__xludf.DUMMYFUNCTION("""COMPUTED_VALUE"""),"Hematology/Oncology")</f>
        <v>Hematology/Oncology</v>
      </c>
      <c r="B34" s="9" t="str">
        <f ca="1">IFERROR(__xludf.DUMMYFUNCTION("""COMPUTED_VALUE"""),"ONHM")</f>
        <v>ONHM</v>
      </c>
      <c r="C34" s="3" t="str">
        <f ca="1">IFERROR(__xludf.DUMMYFUNCTION("GOOGLETRANSLATE($A34,""en"",""de"")"),"Hämatologie/Onkologie")</f>
        <v>Hämatologie/Onkologie</v>
      </c>
      <c r="D34" s="3" t="str">
        <f ca="1">IFERROR(__xludf.DUMMYFUNCTION("GOOGLETRANSLATE($A34,""en"",""fr"")"),"Hématologie/Oncologie")</f>
        <v>Hématologie/Oncologie</v>
      </c>
      <c r="E34" s="3" t="str">
        <f ca="1">IFERROR(__xludf.DUMMYFUNCTION("GOOGLETRANSLATE($A34,""en"",""es"")"),"Hematología/Oncología")</f>
        <v>Hematología/Oncología</v>
      </c>
      <c r="F34" s="3" t="str">
        <f ca="1">IFERROR(__xludf.DUMMYFUNCTION("GOOGLETRANSLATE($A34,""en"",""it"")"),"Ematologia/Oncologia")</f>
        <v>Ematologia/Oncologia</v>
      </c>
      <c r="G34" s="3" t="str">
        <f ca="1">IFERROR(__xludf.DUMMYFUNCTION("GOOGLETRANSLATE($A34,""en"",""zh-cn"")"),"血液学/肿瘤学")</f>
        <v>血液学/肿瘤学</v>
      </c>
      <c r="H34" s="3" t="str">
        <f ca="1">IFERROR(__xludf.DUMMYFUNCTION("GOOGLETRANSLATE($A34,""en"",""ja"")"),"血液学/腫瘍学")</f>
        <v>血液学/腫瘍学</v>
      </c>
      <c r="I34" s="3" t="str">
        <f ca="1">IFERROR(__xludf.DUMMYFUNCTION("GOOGLETRANSLATE($A34,""en"",""ko"")"),"혈액학/종양학")</f>
        <v>혈액학/종양학</v>
      </c>
      <c r="J34" s="3" t="str">
        <f ca="1">IFERROR(__xludf.DUMMYFUNCTION("GOOGLETRANSLATE($A34,""en"",""pt-BR"")"),"Hematologia/Oncologia")</f>
        <v>Hematologia/Oncologia</v>
      </c>
    </row>
    <row r="35" spans="1:10" ht="15.75" customHeight="1" x14ac:dyDescent="0.15">
      <c r="A35" s="9" t="str">
        <f ca="1">IFERROR(__xludf.DUMMYFUNCTION("""COMPUTED_VALUE"""),"Hepatology")</f>
        <v>Hepatology</v>
      </c>
      <c r="B35" s="9" t="str">
        <f ca="1">IFERROR(__xludf.DUMMYFUNCTION("""COMPUTED_VALUE"""),"GEHP")</f>
        <v>GEHP</v>
      </c>
      <c r="C35" s="3" t="str">
        <f ca="1">IFERROR(__xludf.DUMMYFUNCTION("GOOGLETRANSLATE($A35,""en"",""de"")"),"Hepatologie")</f>
        <v>Hepatologie</v>
      </c>
      <c r="D35" s="3" t="str">
        <f ca="1">IFERROR(__xludf.DUMMYFUNCTION("GOOGLETRANSLATE($A35,""en"",""fr"")"),"Hépatologie")</f>
        <v>Hépatologie</v>
      </c>
      <c r="E35" s="3" t="str">
        <f ca="1">IFERROR(__xludf.DUMMYFUNCTION("GOOGLETRANSLATE($A35,""en"",""es"")"),"hepatología")</f>
        <v>hepatología</v>
      </c>
      <c r="F35" s="3" t="str">
        <f ca="1">IFERROR(__xludf.DUMMYFUNCTION("GOOGLETRANSLATE($A35,""en"",""it"")"),"Epatologia")</f>
        <v>Epatologia</v>
      </c>
      <c r="G35" s="3" t="str">
        <f ca="1">IFERROR(__xludf.DUMMYFUNCTION("GOOGLETRANSLATE($A35,""en"",""zh-cn"")"),"肝病学")</f>
        <v>肝病学</v>
      </c>
      <c r="H35" s="3" t="str">
        <f ca="1">IFERROR(__xludf.DUMMYFUNCTION("GOOGLETRANSLATE($A35,""en"",""ja"")"),"肝臓学")</f>
        <v>肝臓学</v>
      </c>
      <c r="I35" s="3" t="str">
        <f ca="1">IFERROR(__xludf.DUMMYFUNCTION("GOOGLETRANSLATE($A35,""en"",""ko"")"),"간학")</f>
        <v>간학</v>
      </c>
      <c r="J35" s="3" t="str">
        <f ca="1">IFERROR(__xludf.DUMMYFUNCTION("GOOGLETRANSLATE($A35,""en"",""pt-BR"")"),"Hepatologia")</f>
        <v>Hepatologia</v>
      </c>
    </row>
    <row r="36" spans="1:10" ht="15.75" customHeight="1" x14ac:dyDescent="0.15">
      <c r="A36" s="9" t="str">
        <f ca="1">IFERROR(__xludf.DUMMYFUNCTION("""COMPUTED_VALUE"""),"Hospital Medicine")</f>
        <v>Hospital Medicine</v>
      </c>
      <c r="B36" s="9" t="str">
        <f ca="1">IFERROR(__xludf.DUMMYFUNCTION("""COMPUTED_VALUE"""),"GPHM")</f>
        <v>GPHM</v>
      </c>
      <c r="C36" s="3" t="str">
        <f ca="1">IFERROR(__xludf.DUMMYFUNCTION("GOOGLETRANSLATE($A36,""en"",""de"")"),"Krankenhausmedizin")</f>
        <v>Krankenhausmedizin</v>
      </c>
      <c r="D36" s="3" t="str">
        <f ca="1">IFERROR(__xludf.DUMMYFUNCTION("GOOGLETRANSLATE($A36,""en"",""fr"")"),"Médecine Hospitalière")</f>
        <v>Médecine Hospitalière</v>
      </c>
      <c r="E36" s="3" t="str">
        <f ca="1">IFERROR(__xludf.DUMMYFUNCTION("GOOGLETRANSLATE($A36,""en"",""es"")"),"Medicina hospitalaria")</f>
        <v>Medicina hospitalaria</v>
      </c>
      <c r="F36" s="3" t="str">
        <f ca="1">IFERROR(__xludf.DUMMYFUNCTION("GOOGLETRANSLATE($A36,""en"",""it"")"),"Medicina Ospedaliera")</f>
        <v>Medicina Ospedaliera</v>
      </c>
      <c r="G36" s="3" t="str">
        <f ca="1">IFERROR(__xludf.DUMMYFUNCTION("GOOGLETRANSLATE($A36,""en"",""zh-cn"")"),"医院医学")</f>
        <v>医院医学</v>
      </c>
      <c r="H36" s="3" t="str">
        <f ca="1">IFERROR(__xludf.DUMMYFUNCTION("GOOGLETRANSLATE($A36,""en"",""ja"")"),"病院の医学")</f>
        <v>病院の医学</v>
      </c>
      <c r="I36" s="3" t="str">
        <f ca="1">IFERROR(__xludf.DUMMYFUNCTION("GOOGLETRANSLATE($A36,""en"",""ko"")"),"병원의학")</f>
        <v>병원의학</v>
      </c>
      <c r="J36" s="3" t="str">
        <f ca="1">IFERROR(__xludf.DUMMYFUNCTION("GOOGLETRANSLATE($A36,""en"",""pt-BR"")"),"Medicina Hospitalar")</f>
        <v>Medicina Hospitalar</v>
      </c>
    </row>
    <row r="37" spans="1:10" ht="15.75" customHeight="1" x14ac:dyDescent="0.15">
      <c r="A37" s="9" t="str">
        <f ca="1">IFERROR(__xludf.DUMMYFUNCTION("""COMPUTED_VALUE"""),"Immunology")</f>
        <v>Immunology</v>
      </c>
      <c r="B37" s="9" t="str">
        <f ca="1">IFERROR(__xludf.DUMMYFUNCTION("""COMPUTED_VALUE"""),"IY")</f>
        <v>IY</v>
      </c>
      <c r="C37" s="3" t="str">
        <f ca="1">IFERROR(__xludf.DUMMYFUNCTION("GOOGLETRANSLATE($A37,""en"",""de"")"),"Immunologie")</f>
        <v>Immunologie</v>
      </c>
      <c r="D37" s="3" t="str">
        <f ca="1">IFERROR(__xludf.DUMMYFUNCTION("GOOGLETRANSLATE($A37,""en"",""fr"")"),"Immunologie")</f>
        <v>Immunologie</v>
      </c>
      <c r="E37" s="3" t="str">
        <f ca="1">IFERROR(__xludf.DUMMYFUNCTION("GOOGLETRANSLATE($A37,""en"",""es"")"),"Inmunología")</f>
        <v>Inmunología</v>
      </c>
      <c r="F37" s="3" t="str">
        <f ca="1">IFERROR(__xludf.DUMMYFUNCTION("GOOGLETRANSLATE($A37,""en"",""it"")"),"Immunologia")</f>
        <v>Immunologia</v>
      </c>
      <c r="G37" s="3" t="str">
        <f ca="1">IFERROR(__xludf.DUMMYFUNCTION("GOOGLETRANSLATE($A37,""en"",""zh-cn"")"),"免疫学")</f>
        <v>免疫学</v>
      </c>
      <c r="H37" s="3" t="str">
        <f ca="1">IFERROR(__xludf.DUMMYFUNCTION("GOOGLETRANSLATE($A37,""en"",""ja"")"),"免疫学")</f>
        <v>免疫学</v>
      </c>
      <c r="I37" s="3" t="str">
        <f ca="1">IFERROR(__xludf.DUMMYFUNCTION("GOOGLETRANSLATE($A37,""en"",""ko"")"),"면역학")</f>
        <v>면역학</v>
      </c>
      <c r="J37" s="3" t="str">
        <f ca="1">IFERROR(__xludf.DUMMYFUNCTION("GOOGLETRANSLATE($A37,""en"",""pt-BR"")"),"Imunologia")</f>
        <v>Imunologia</v>
      </c>
    </row>
    <row r="38" spans="1:10" ht="15.75" customHeight="1" x14ac:dyDescent="0.15">
      <c r="A38" s="9" t="str">
        <f ca="1">IFERROR(__xludf.DUMMYFUNCTION("""COMPUTED_VALUE"""),"Infectious Diseases")</f>
        <v>Infectious Diseases</v>
      </c>
      <c r="B38" s="9" t="str">
        <f ca="1">IFERROR(__xludf.DUMMYFUNCTION("""COMPUTED_VALUE"""),"ID")</f>
        <v>ID</v>
      </c>
      <c r="C38" s="3" t="str">
        <f ca="1">IFERROR(__xludf.DUMMYFUNCTION("GOOGLETRANSLATE($A38,""en"",""de"")"),"Infektionskrankheiten")</f>
        <v>Infektionskrankheiten</v>
      </c>
      <c r="D38" s="3" t="str">
        <f ca="1">IFERROR(__xludf.DUMMYFUNCTION("GOOGLETRANSLATE($A38,""en"",""fr"")"),"Maladies infectieuses")</f>
        <v>Maladies infectieuses</v>
      </c>
      <c r="E38" s="3" t="str">
        <f ca="1">IFERROR(__xludf.DUMMYFUNCTION("GOOGLETRANSLATE($A38,""en"",""es"")"),"Enfermedades infecciosas")</f>
        <v>Enfermedades infecciosas</v>
      </c>
      <c r="F38" s="3" t="str">
        <f ca="1">IFERROR(__xludf.DUMMYFUNCTION("GOOGLETRANSLATE($A38,""en"",""it"")"),"Malattie infettive")</f>
        <v>Malattie infettive</v>
      </c>
      <c r="G38" s="3" t="str">
        <f ca="1">IFERROR(__xludf.DUMMYFUNCTION("GOOGLETRANSLATE($A38,""en"",""zh-cn"")"),"传染性疾病")</f>
        <v>传染性疾病</v>
      </c>
      <c r="H38" s="3" t="str">
        <f ca="1">IFERROR(__xludf.DUMMYFUNCTION("GOOGLETRANSLATE($A38,""en"",""ja"")"),"感染症")</f>
        <v>感染症</v>
      </c>
      <c r="I38" s="3" t="str">
        <f ca="1">IFERROR(__xludf.DUMMYFUNCTION("GOOGLETRANSLATE($A38,""en"",""ko"")"),"전염병")</f>
        <v>전염병</v>
      </c>
      <c r="J38" s="3" t="str">
        <f ca="1">IFERROR(__xludf.DUMMYFUNCTION("GOOGLETRANSLATE($A38,""en"",""pt-BR"")"),"Doenças infecciosas")</f>
        <v>Doenças infecciosas</v>
      </c>
    </row>
    <row r="39" spans="1:10" ht="15.75" customHeight="1" x14ac:dyDescent="0.15">
      <c r="A39" s="9" t="str">
        <f ca="1">IFERROR(__xludf.DUMMYFUNCTION("""COMPUTED_VALUE"""),"Intensive Care Medicine")</f>
        <v>Intensive Care Medicine</v>
      </c>
      <c r="B39" s="9" t="str">
        <f ca="1">IFERROR(__xludf.DUMMYFUNCTION("""COMPUTED_VALUE"""),"IMIC")</f>
        <v>IMIC</v>
      </c>
      <c r="C39" s="3" t="str">
        <f ca="1">IFERROR(__xludf.DUMMYFUNCTION("GOOGLETRANSLATE($A39,""en"",""de"")"),"Intensivmedizin")</f>
        <v>Intensivmedizin</v>
      </c>
      <c r="D39" s="3" t="str">
        <f ca="1">IFERROR(__xludf.DUMMYFUNCTION("GOOGLETRANSLATE($A39,""en"",""fr"")"),"Médecine de soins intensifs")</f>
        <v>Médecine de soins intensifs</v>
      </c>
      <c r="E39" s="3" t="str">
        <f ca="1">IFERROR(__xludf.DUMMYFUNCTION("GOOGLETRANSLATE($A39,""en"",""es"")"),"Medicina de cuidados intensivos")</f>
        <v>Medicina de cuidados intensivos</v>
      </c>
      <c r="F39" s="3" t="str">
        <f ca="1">IFERROR(__xludf.DUMMYFUNCTION("GOOGLETRANSLATE($A39,""en"",""it"")"),"Medicina di Terapia Intensiva")</f>
        <v>Medicina di Terapia Intensiva</v>
      </c>
      <c r="G39" s="3" t="str">
        <f ca="1">IFERROR(__xludf.DUMMYFUNCTION("GOOGLETRANSLATE($A39,""en"",""zh-cn"")"),"重症监护医学")</f>
        <v>重症监护医学</v>
      </c>
      <c r="H39" s="3" t="str">
        <f ca="1">IFERROR(__xludf.DUMMYFUNCTION("GOOGLETRANSLATE($A39,""en"",""ja"")"),"集中治療医学")</f>
        <v>集中治療医学</v>
      </c>
      <c r="I39" s="3" t="str">
        <f ca="1">IFERROR(__xludf.DUMMYFUNCTION("GOOGLETRANSLATE($A39,""en"",""ko"")"),"집중치료의학")</f>
        <v>집중치료의학</v>
      </c>
      <c r="J39" s="3" t="str">
        <f ca="1">IFERROR(__xludf.DUMMYFUNCTION("GOOGLETRANSLATE($A39,""en"",""pt-BR"")"),"Medicina Intensiva")</f>
        <v>Medicina Intensiva</v>
      </c>
    </row>
    <row r="40" spans="1:10" ht="15.75" customHeight="1" x14ac:dyDescent="0.15">
      <c r="A40" s="9" t="str">
        <f ca="1">IFERROR(__xludf.DUMMYFUNCTION("""COMPUTED_VALUE"""),"Internal Medicine")</f>
        <v>Internal Medicine</v>
      </c>
      <c r="B40" s="9" t="str">
        <f ca="1">IFERROR(__xludf.DUMMYFUNCTION("""COMPUTED_VALUE"""),"IM")</f>
        <v>IM</v>
      </c>
      <c r="C40" s="3" t="str">
        <f ca="1">IFERROR(__xludf.DUMMYFUNCTION("GOOGLETRANSLATE($A40,""en"",""de"")"),"Innere Medizin")</f>
        <v>Innere Medizin</v>
      </c>
      <c r="D40" s="3" t="str">
        <f ca="1">IFERROR(__xludf.DUMMYFUNCTION("GOOGLETRANSLATE($A40,""en"",""fr"")"),"Médecine interne")</f>
        <v>Médecine interne</v>
      </c>
      <c r="E40" s="3" t="str">
        <f ca="1">IFERROR(__xludf.DUMMYFUNCTION("GOOGLETRANSLATE($A40,""en"",""es"")"),"Medicina Interna")</f>
        <v>Medicina Interna</v>
      </c>
      <c r="F40" s="3" t="str">
        <f ca="1">IFERROR(__xludf.DUMMYFUNCTION("GOOGLETRANSLATE($A40,""en"",""it"")"),"Medicina Interna")</f>
        <v>Medicina Interna</v>
      </c>
      <c r="G40" s="3" t="str">
        <f ca="1">IFERROR(__xludf.DUMMYFUNCTION("GOOGLETRANSLATE($A40,""en"",""zh-cn"")"),"内科")</f>
        <v>内科</v>
      </c>
      <c r="H40" s="3" t="str">
        <f ca="1">IFERROR(__xludf.DUMMYFUNCTION("GOOGLETRANSLATE($A40,""en"",""ja"")"),"内科")</f>
        <v>内科</v>
      </c>
      <c r="I40" s="3" t="str">
        <f ca="1">IFERROR(__xludf.DUMMYFUNCTION("GOOGLETRANSLATE($A40,""en"",""ko"")"),"내과")</f>
        <v>내과</v>
      </c>
      <c r="J40" s="3" t="str">
        <f ca="1">IFERROR(__xludf.DUMMYFUNCTION("GOOGLETRANSLATE($A40,""en"",""pt-BR"")"),"Medicina Interna")</f>
        <v>Medicina Interna</v>
      </c>
    </row>
    <row r="41" spans="1:10" ht="15.75" customHeight="1" x14ac:dyDescent="0.15">
      <c r="A41" s="9" t="str">
        <f ca="1">IFERROR(__xludf.DUMMYFUNCTION("""COMPUTED_VALUE"""),"Interventional Cardiology")</f>
        <v>Interventional Cardiology</v>
      </c>
      <c r="B41" s="9" t="str">
        <f ca="1">IFERROR(__xludf.DUMMYFUNCTION("""COMPUTED_VALUE"""),"CDIC")</f>
        <v>CDIC</v>
      </c>
      <c r="C41" s="3" t="str">
        <f ca="1">IFERROR(__xludf.DUMMYFUNCTION("GOOGLETRANSLATE($A41,""en"",""de"")"),"Interventionelle Kardiologie")</f>
        <v>Interventionelle Kardiologie</v>
      </c>
      <c r="D41" s="3" t="str">
        <f ca="1">IFERROR(__xludf.DUMMYFUNCTION("GOOGLETRANSLATE($A41,""en"",""fr"")"),"Cardiologie interventionnelle")</f>
        <v>Cardiologie interventionnelle</v>
      </c>
      <c r="E41" s="3" t="str">
        <f ca="1">IFERROR(__xludf.DUMMYFUNCTION("GOOGLETRANSLATE($A41,""en"",""es"")"),"Cardiología intervencionista")</f>
        <v>Cardiología intervencionista</v>
      </c>
      <c r="F41" s="3" t="str">
        <f ca="1">IFERROR(__xludf.DUMMYFUNCTION("GOOGLETRANSLATE($A41,""en"",""it"")"),"Cardiologia interventistica")</f>
        <v>Cardiologia interventistica</v>
      </c>
      <c r="G41" s="3" t="str">
        <f ca="1">IFERROR(__xludf.DUMMYFUNCTION("GOOGLETRANSLATE($A41,""en"",""zh-cn"")"),"介入心脏病学")</f>
        <v>介入心脏病学</v>
      </c>
      <c r="H41" s="3" t="str">
        <f ca="1">IFERROR(__xludf.DUMMYFUNCTION("GOOGLETRANSLATE($A41,""en"",""ja"")"),"インターベンション心臓学")</f>
        <v>インターベンション心臓学</v>
      </c>
      <c r="I41" s="3" t="str">
        <f ca="1">IFERROR(__xludf.DUMMYFUNCTION("GOOGLETRANSLATE($A41,""en"",""ko"")"),"중재 심장학")</f>
        <v>중재 심장학</v>
      </c>
      <c r="J41" s="3" t="str">
        <f ca="1">IFERROR(__xludf.DUMMYFUNCTION("GOOGLETRANSLATE($A41,""en"",""pt-BR"")"),"Cardiologia Intervencionista")</f>
        <v>Cardiologia Intervencionista</v>
      </c>
    </row>
    <row r="42" spans="1:10" ht="15.75" customHeight="1" x14ac:dyDescent="0.15">
      <c r="A42" s="9" t="str">
        <f ca="1">IFERROR(__xludf.DUMMYFUNCTION("""COMPUTED_VALUE"""),"Laboratory Medicine")</f>
        <v>Laboratory Medicine</v>
      </c>
      <c r="B42" s="9" t="str">
        <f ca="1">IFERROR(__xludf.DUMMYFUNCTION("""COMPUTED_VALUE"""),"PTLM")</f>
        <v>PTLM</v>
      </c>
      <c r="C42" s="3" t="str">
        <f ca="1">IFERROR(__xludf.DUMMYFUNCTION("GOOGLETRANSLATE($A42,""en"",""de"")"),"Labormedizin")</f>
        <v>Labormedizin</v>
      </c>
      <c r="D42" s="3" t="str">
        <f ca="1">IFERROR(__xludf.DUMMYFUNCTION("GOOGLETRANSLATE($A42,""en"",""fr"")"),"Médecine de laboratoire")</f>
        <v>Médecine de laboratoire</v>
      </c>
      <c r="E42" s="3" t="str">
        <f ca="1">IFERROR(__xludf.DUMMYFUNCTION("GOOGLETRANSLATE($A42,""en"",""es"")"),"Medicina de laboratorio")</f>
        <v>Medicina de laboratorio</v>
      </c>
      <c r="F42" s="3" t="str">
        <f ca="1">IFERROR(__xludf.DUMMYFUNCTION("GOOGLETRANSLATE($A42,""en"",""it"")"),"Medicina di laboratorio")</f>
        <v>Medicina di laboratorio</v>
      </c>
      <c r="G42" s="3" t="str">
        <f ca="1">IFERROR(__xludf.DUMMYFUNCTION("GOOGLETRANSLATE($A42,""en"",""zh-cn"")"),"检验医学")</f>
        <v>检验医学</v>
      </c>
      <c r="H42" s="3" t="str">
        <f ca="1">IFERROR(__xludf.DUMMYFUNCTION("GOOGLETRANSLATE($A42,""en"",""ja"")"),"臨床検査医学")</f>
        <v>臨床検査医学</v>
      </c>
      <c r="I42" s="3" t="str">
        <f ca="1">IFERROR(__xludf.DUMMYFUNCTION("GOOGLETRANSLATE($A42,""en"",""ko"")"),"진단검사의학")</f>
        <v>진단검사의학</v>
      </c>
      <c r="J42" s="3" t="str">
        <f ca="1">IFERROR(__xludf.DUMMYFUNCTION("GOOGLETRANSLATE($A42,""en"",""pt-BR"")"),"Medicina Laboratorial")</f>
        <v>Medicina Laboratorial</v>
      </c>
    </row>
    <row r="43" spans="1:10" ht="15.75" customHeight="1" x14ac:dyDescent="0.15">
      <c r="A43" s="9" t="str">
        <f ca="1">IFERROR(__xludf.DUMMYFUNCTION("""COMPUTED_VALUE"""),"Legal Medicine")</f>
        <v>Legal Medicine</v>
      </c>
      <c r="B43" s="9" t="str">
        <f ca="1">IFERROR(__xludf.DUMMYFUNCTION("""COMPUTED_VALUE"""),"ADLG")</f>
        <v>ADLG</v>
      </c>
      <c r="C43" s="3" t="str">
        <f ca="1">IFERROR(__xludf.DUMMYFUNCTION("GOOGLETRANSLATE($A43,""en"",""de"")"),"Rechtsmedizin")</f>
        <v>Rechtsmedizin</v>
      </c>
      <c r="D43" s="3" t="str">
        <f ca="1">IFERROR(__xludf.DUMMYFUNCTION("GOOGLETRANSLATE($A43,""en"",""fr"")"),"Médecine Légale")</f>
        <v>Médecine Légale</v>
      </c>
      <c r="E43" s="3" t="str">
        <f ca="1">IFERROR(__xludf.DUMMYFUNCTION("GOOGLETRANSLATE($A43,""en"",""es"")"),"Medicina Legal")</f>
        <v>Medicina Legal</v>
      </c>
      <c r="F43" s="3" t="str">
        <f ca="1">IFERROR(__xludf.DUMMYFUNCTION("GOOGLETRANSLATE($A43,""en"",""it"")"),"Medicina Legale")</f>
        <v>Medicina Legale</v>
      </c>
      <c r="G43" s="3" t="str">
        <f ca="1">IFERROR(__xludf.DUMMYFUNCTION("GOOGLETRANSLATE($A43,""en"",""zh-cn"")"),"法律医学")</f>
        <v>法律医学</v>
      </c>
      <c r="H43" s="3" t="str">
        <f ca="1">IFERROR(__xludf.DUMMYFUNCTION("GOOGLETRANSLATE($A43,""en"",""ja"")"),"法医学")</f>
        <v>法医学</v>
      </c>
      <c r="I43" s="3" t="str">
        <f ca="1">IFERROR(__xludf.DUMMYFUNCTION("GOOGLETRANSLATE($A43,""en"",""ko"")"),"법의학")</f>
        <v>법의학</v>
      </c>
      <c r="J43" s="3" t="str">
        <f ca="1">IFERROR(__xludf.DUMMYFUNCTION("GOOGLETRANSLATE($A43,""en"",""pt-BR"")"),"Medicina Legal")</f>
        <v>Medicina Legal</v>
      </c>
    </row>
    <row r="44" spans="1:10" ht="15.75" customHeight="1" x14ac:dyDescent="0.15">
      <c r="A44" s="9" t="str">
        <f ca="1">IFERROR(__xludf.DUMMYFUNCTION("""COMPUTED_VALUE"""),"Maxillofacial Surgery")</f>
        <v>Maxillofacial Surgery</v>
      </c>
      <c r="B44" s="9" t="str">
        <f ca="1">IFERROR(__xludf.DUMMYFUNCTION("""COMPUTED_VALUE"""),"SUMX")</f>
        <v>SUMX</v>
      </c>
      <c r="C44" s="3" t="str">
        <f ca="1">IFERROR(__xludf.DUMMYFUNCTION("GOOGLETRANSLATE($A44,""en"",""de"")"),"Kiefer- und Gesichtschirurgie")</f>
        <v>Kiefer- und Gesichtschirurgie</v>
      </c>
      <c r="D44" s="3" t="str">
        <f ca="1">IFERROR(__xludf.DUMMYFUNCTION("GOOGLETRANSLATE($A44,""en"",""fr"")"),"Chirurgie maxillo-faciale")</f>
        <v>Chirurgie maxillo-faciale</v>
      </c>
      <c r="E44" s="3" t="str">
        <f ca="1">IFERROR(__xludf.DUMMYFUNCTION("GOOGLETRANSLATE($A44,""en"",""es"")"),"Cirugía Maxilofacial")</f>
        <v>Cirugía Maxilofacial</v>
      </c>
      <c r="F44" s="3" t="str">
        <f ca="1">IFERROR(__xludf.DUMMYFUNCTION("GOOGLETRANSLATE($A44,""en"",""it"")"),"Chirurgia maxillo-facciale")</f>
        <v>Chirurgia maxillo-facciale</v>
      </c>
      <c r="G44" s="3" t="str">
        <f ca="1">IFERROR(__xludf.DUMMYFUNCTION("GOOGLETRANSLATE($A44,""en"",""zh-cn"")"),"颌面外科")</f>
        <v>颌面外科</v>
      </c>
      <c r="H44" s="3" t="str">
        <f ca="1">IFERROR(__xludf.DUMMYFUNCTION("GOOGLETRANSLATE($A44,""en"",""ja"")"),"顎顔面外科")</f>
        <v>顎顔面外科</v>
      </c>
      <c r="I44" s="3" t="str">
        <f ca="1">IFERROR(__xludf.DUMMYFUNCTION("GOOGLETRANSLATE($A44,""en"",""ko"")"),"악안면외과")</f>
        <v>악안면외과</v>
      </c>
      <c r="J44" s="3" t="str">
        <f ca="1">IFERROR(__xludf.DUMMYFUNCTION("GOOGLETRANSLATE($A44,""en"",""pt-BR"")"),"Cirurgia maxilofacial")</f>
        <v>Cirurgia maxilofacial</v>
      </c>
    </row>
    <row r="45" spans="1:10" ht="15.75" customHeight="1" x14ac:dyDescent="0.15">
      <c r="A45" s="9" t="str">
        <f ca="1">IFERROR(__xludf.DUMMYFUNCTION("""COMPUTED_VALUE"""),"Microbiology")</f>
        <v>Microbiology</v>
      </c>
      <c r="B45" s="9" t="str">
        <f ca="1">IFERROR(__xludf.DUMMYFUNCTION("""COMPUTED_VALUE"""),"IDMB")</f>
        <v>IDMB</v>
      </c>
      <c r="C45" s="3" t="str">
        <f ca="1">IFERROR(__xludf.DUMMYFUNCTION("GOOGLETRANSLATE($A45,""en"",""de"")"),"Mikrobiologie")</f>
        <v>Mikrobiologie</v>
      </c>
      <c r="D45" s="3" t="str">
        <f ca="1">IFERROR(__xludf.DUMMYFUNCTION("GOOGLETRANSLATE($A45,""en"",""fr"")"),"Microbiologie")</f>
        <v>Microbiologie</v>
      </c>
      <c r="E45" s="3" t="str">
        <f ca="1">IFERROR(__xludf.DUMMYFUNCTION("GOOGLETRANSLATE($A45,""en"",""es"")"),"Microbiología")</f>
        <v>Microbiología</v>
      </c>
      <c r="F45" s="3" t="str">
        <f ca="1">IFERROR(__xludf.DUMMYFUNCTION("GOOGLETRANSLATE($A45,""en"",""it"")"),"Microbiologia")</f>
        <v>Microbiologia</v>
      </c>
      <c r="G45" s="3" t="str">
        <f ca="1">IFERROR(__xludf.DUMMYFUNCTION("GOOGLETRANSLATE($A45,""en"",""zh-cn"")"),"微生物学")</f>
        <v>微生物学</v>
      </c>
      <c r="H45" s="3" t="str">
        <f ca="1">IFERROR(__xludf.DUMMYFUNCTION("GOOGLETRANSLATE($A45,""en"",""ja"")"),"微生物学")</f>
        <v>微生物学</v>
      </c>
      <c r="I45" s="3" t="str">
        <f ca="1">IFERROR(__xludf.DUMMYFUNCTION("GOOGLETRANSLATE($A45,""en"",""ko"")"),"미생물학")</f>
        <v>미생물학</v>
      </c>
      <c r="J45" s="3" t="str">
        <f ca="1">IFERROR(__xludf.DUMMYFUNCTION("GOOGLETRANSLATE($A45,""en"",""pt-BR"")"),"Microbiologia")</f>
        <v>Microbiologia</v>
      </c>
    </row>
    <row r="46" spans="1:10" ht="15.75" customHeight="1" x14ac:dyDescent="0.15">
      <c r="A46" s="9" t="str">
        <f ca="1">IFERROR(__xludf.DUMMYFUNCTION("""COMPUTED_VALUE"""),"Midwifery")</f>
        <v>Midwifery</v>
      </c>
      <c r="B46" s="9" t="str">
        <f ca="1">IFERROR(__xludf.DUMMYFUNCTION("""COMPUTED_VALUE"""),"GYMY")</f>
        <v>GYMY</v>
      </c>
      <c r="C46" s="3" t="str">
        <f ca="1">IFERROR(__xludf.DUMMYFUNCTION("GOOGLETRANSLATE($A46,""en"",""de"")"),"Geburtshilfe")</f>
        <v>Geburtshilfe</v>
      </c>
      <c r="D46" s="3" t="str">
        <f ca="1">IFERROR(__xludf.DUMMYFUNCTION("GOOGLETRANSLATE($A46,""en"",""fr"")"),"Obstétrique")</f>
        <v>Obstétrique</v>
      </c>
      <c r="E46" s="3" t="str">
        <f ca="1">IFERROR(__xludf.DUMMYFUNCTION("GOOGLETRANSLATE($A46,""en"",""es"")"),"Partería")</f>
        <v>Partería</v>
      </c>
      <c r="F46" s="3" t="str">
        <f ca="1">IFERROR(__xludf.DUMMYFUNCTION("GOOGLETRANSLATE($A46,""en"",""it"")"),"Ostetricia")</f>
        <v>Ostetricia</v>
      </c>
      <c r="G46" s="3" t="str">
        <f ca="1">IFERROR(__xludf.DUMMYFUNCTION("GOOGLETRANSLATE($A46,""en"",""zh-cn"")"),"助产士")</f>
        <v>助产士</v>
      </c>
      <c r="H46" s="3" t="str">
        <f ca="1">IFERROR(__xludf.DUMMYFUNCTION("GOOGLETRANSLATE($A46,""en"",""ja"")"),"助産")</f>
        <v>助産</v>
      </c>
      <c r="I46" s="3" t="str">
        <f ca="1">IFERROR(__xludf.DUMMYFUNCTION("GOOGLETRANSLATE($A46,""en"",""ko"")"),"산파술")</f>
        <v>산파술</v>
      </c>
      <c r="J46" s="3" t="str">
        <f ca="1">IFERROR(__xludf.DUMMYFUNCTION("GOOGLETRANSLATE($A46,""en"",""pt-BR"")"),"Obstetrícia")</f>
        <v>Obstetrícia</v>
      </c>
    </row>
    <row r="47" spans="1:10" ht="15.75" customHeight="1" x14ac:dyDescent="0.15">
      <c r="A47" s="9" t="str">
        <f ca="1">IFERROR(__xludf.DUMMYFUNCTION("""COMPUTED_VALUE"""),"Nephrology")</f>
        <v>Nephrology</v>
      </c>
      <c r="B47" s="9" t="str">
        <f ca="1">IFERROR(__xludf.DUMMYFUNCTION("""COMPUTED_VALUE"""),"NP")</f>
        <v>NP</v>
      </c>
      <c r="C47" s="3" t="str">
        <f ca="1">IFERROR(__xludf.DUMMYFUNCTION("GOOGLETRANSLATE($A47,""en"",""de"")"),"Nephrologie")</f>
        <v>Nephrologie</v>
      </c>
      <c r="D47" s="3" t="str">
        <f ca="1">IFERROR(__xludf.DUMMYFUNCTION("GOOGLETRANSLATE($A47,""en"",""fr"")"),"Néphrologie")</f>
        <v>Néphrologie</v>
      </c>
      <c r="E47" s="3" t="str">
        <f ca="1">IFERROR(__xludf.DUMMYFUNCTION("GOOGLETRANSLATE($A47,""en"",""es"")"),"Nefrología")</f>
        <v>Nefrología</v>
      </c>
      <c r="F47" s="3" t="str">
        <f ca="1">IFERROR(__xludf.DUMMYFUNCTION("GOOGLETRANSLATE($A47,""en"",""it"")"),"Nefrologia")</f>
        <v>Nefrologia</v>
      </c>
      <c r="G47" s="3" t="str">
        <f ca="1">IFERROR(__xludf.DUMMYFUNCTION("GOOGLETRANSLATE($A47,""en"",""zh-cn"")"),"肾脏病学")</f>
        <v>肾脏病学</v>
      </c>
      <c r="H47" s="3" t="str">
        <f ca="1">IFERROR(__xludf.DUMMYFUNCTION("GOOGLETRANSLATE($A47,""en"",""ja"")"),"腎臓学")</f>
        <v>腎臓学</v>
      </c>
      <c r="I47" s="3" t="str">
        <f ca="1">IFERROR(__xludf.DUMMYFUNCTION("GOOGLETRANSLATE($A47,""en"",""ko"")"),"신장학")</f>
        <v>신장학</v>
      </c>
      <c r="J47" s="3" t="str">
        <f ca="1">IFERROR(__xludf.DUMMYFUNCTION("GOOGLETRANSLATE($A47,""en"",""pt-BR"")"),"Nefrologia")</f>
        <v>Nefrologia</v>
      </c>
    </row>
    <row r="48" spans="1:10" ht="15.75" customHeight="1" x14ac:dyDescent="0.15">
      <c r="A48" s="9" t="str">
        <f ca="1">IFERROR(__xludf.DUMMYFUNCTION("""COMPUTED_VALUE"""),"Neurology")</f>
        <v>Neurology</v>
      </c>
      <c r="B48" s="9" t="str">
        <f ca="1">IFERROR(__xludf.DUMMYFUNCTION("""COMPUTED_VALUE"""),"NY")</f>
        <v>NY</v>
      </c>
      <c r="C48" s="3" t="str">
        <f ca="1">IFERROR(__xludf.DUMMYFUNCTION("GOOGLETRANSLATE($A48,""en"",""de"")"),"Neurologie")</f>
        <v>Neurologie</v>
      </c>
      <c r="D48" s="3" t="str">
        <f ca="1">IFERROR(__xludf.DUMMYFUNCTION("GOOGLETRANSLATE($A48,""en"",""fr"")"),"Neurologie")</f>
        <v>Neurologie</v>
      </c>
      <c r="E48" s="3" t="str">
        <f ca="1">IFERROR(__xludf.DUMMYFUNCTION("GOOGLETRANSLATE($A48,""en"",""es"")"),"Neurología")</f>
        <v>Neurología</v>
      </c>
      <c r="F48" s="3" t="str">
        <f ca="1">IFERROR(__xludf.DUMMYFUNCTION("GOOGLETRANSLATE($A48,""en"",""it"")"),"Neurologia")</f>
        <v>Neurologia</v>
      </c>
      <c r="G48" s="3" t="str">
        <f ca="1">IFERROR(__xludf.DUMMYFUNCTION("GOOGLETRANSLATE($A48,""en"",""zh-cn"")"),"神经病学")</f>
        <v>神经病学</v>
      </c>
      <c r="H48" s="3" t="str">
        <f ca="1">IFERROR(__xludf.DUMMYFUNCTION("GOOGLETRANSLATE($A48,""en"",""ja"")"),"神経内科")</f>
        <v>神経内科</v>
      </c>
      <c r="I48" s="3" t="str">
        <f ca="1">IFERROR(__xludf.DUMMYFUNCTION("GOOGLETRANSLATE($A48,""en"",""ko"")"),"신경학")</f>
        <v>신경학</v>
      </c>
      <c r="J48" s="3" t="str">
        <f ca="1">IFERROR(__xludf.DUMMYFUNCTION("GOOGLETRANSLATE($A48,""en"",""pt-BR"")"),"Neurologia")</f>
        <v>Neurologia</v>
      </c>
    </row>
    <row r="49" spans="1:10" ht="15.75" customHeight="1" x14ac:dyDescent="0.15">
      <c r="A49" s="9" t="str">
        <f ca="1">IFERROR(__xludf.DUMMYFUNCTION("""COMPUTED_VALUE"""),"Neuromuscular Medicine")</f>
        <v>Neuromuscular Medicine</v>
      </c>
      <c r="B49" s="9" t="str">
        <f ca="1">IFERROR(__xludf.DUMMYFUNCTION("""COMPUTED_VALUE"""),"NYNO")</f>
        <v>NYNO</v>
      </c>
      <c r="C49" s="3" t="str">
        <f ca="1">IFERROR(__xludf.DUMMYFUNCTION("GOOGLETRANSLATE($A49,""en"",""de"")"),"Neuromuskuläre Medizin")</f>
        <v>Neuromuskuläre Medizin</v>
      </c>
      <c r="D49" s="3" t="str">
        <f ca="1">IFERROR(__xludf.DUMMYFUNCTION("GOOGLETRANSLATE($A49,""en"",""fr"")"),"Médecine neuromusculaire")</f>
        <v>Médecine neuromusculaire</v>
      </c>
      <c r="E49" s="3" t="str">
        <f ca="1">IFERROR(__xludf.DUMMYFUNCTION("GOOGLETRANSLATE($A49,""en"",""es"")"),"Medicina neuromuscular")</f>
        <v>Medicina neuromuscular</v>
      </c>
      <c r="F49" s="3" t="str">
        <f ca="1">IFERROR(__xludf.DUMMYFUNCTION("GOOGLETRANSLATE($A49,""en"",""it"")"),"Medicina Neuromuscolare")</f>
        <v>Medicina Neuromuscolare</v>
      </c>
      <c r="G49" s="3" t="str">
        <f ca="1">IFERROR(__xludf.DUMMYFUNCTION("GOOGLETRANSLATE($A49,""en"",""zh-cn"")"),"神经肌肉医学")</f>
        <v>神经肌肉医学</v>
      </c>
      <c r="H49" s="3" t="str">
        <f ca="1">IFERROR(__xludf.DUMMYFUNCTION("GOOGLETRANSLATE($A49,""en"",""ja"")"),"神経筋医学")</f>
        <v>神経筋医学</v>
      </c>
      <c r="I49" s="3" t="str">
        <f ca="1">IFERROR(__xludf.DUMMYFUNCTION("GOOGLETRANSLATE($A49,""en"",""ko"")"),"신경근육의학")</f>
        <v>신경근육의학</v>
      </c>
      <c r="J49" s="3" t="str">
        <f ca="1">IFERROR(__xludf.DUMMYFUNCTION("GOOGLETRANSLATE($A49,""en"",""pt-BR"")"),"Medicina Neuromuscular")</f>
        <v>Medicina Neuromuscular</v>
      </c>
    </row>
    <row r="50" spans="1:10" ht="15.75" customHeight="1" x14ac:dyDescent="0.15">
      <c r="A50" s="9" t="str">
        <f ca="1">IFERROR(__xludf.DUMMYFUNCTION("""COMPUTED_VALUE"""),"Neurophysiology")</f>
        <v>Neurophysiology</v>
      </c>
      <c r="B50" s="9" t="str">
        <f ca="1">IFERROR(__xludf.DUMMYFUNCTION("""COMPUTED_VALUE"""),"NYPG")</f>
        <v>NYPG</v>
      </c>
      <c r="C50" s="3" t="str">
        <f ca="1">IFERROR(__xludf.DUMMYFUNCTION("GOOGLETRANSLATE($A50,""en"",""de"")"),"Neurophysiologie")</f>
        <v>Neurophysiologie</v>
      </c>
      <c r="D50" s="3" t="str">
        <f ca="1">IFERROR(__xludf.DUMMYFUNCTION("GOOGLETRANSLATE($A50,""en"",""fr"")"),"Neurophysiologie")</f>
        <v>Neurophysiologie</v>
      </c>
      <c r="E50" s="3" t="str">
        <f ca="1">IFERROR(__xludf.DUMMYFUNCTION("GOOGLETRANSLATE($A50,""en"",""es"")"),"Neurofisiología")</f>
        <v>Neurofisiología</v>
      </c>
      <c r="F50" s="3" t="str">
        <f ca="1">IFERROR(__xludf.DUMMYFUNCTION("GOOGLETRANSLATE($A50,""en"",""it"")"),"Neurofisiologia")</f>
        <v>Neurofisiologia</v>
      </c>
      <c r="G50" s="3" t="str">
        <f ca="1">IFERROR(__xludf.DUMMYFUNCTION("GOOGLETRANSLATE($A50,""en"",""zh-cn"")"),"神经生理学")</f>
        <v>神经生理学</v>
      </c>
      <c r="H50" s="3" t="str">
        <f ca="1">IFERROR(__xludf.DUMMYFUNCTION("GOOGLETRANSLATE($A50,""en"",""ja"")"),"神経生理学")</f>
        <v>神経生理学</v>
      </c>
      <c r="I50" s="3" t="str">
        <f ca="1">IFERROR(__xludf.DUMMYFUNCTION("GOOGLETRANSLATE($A50,""en"",""ko"")"),"신경생리학")</f>
        <v>신경생리학</v>
      </c>
      <c r="J50" s="3" t="str">
        <f ca="1">IFERROR(__xludf.DUMMYFUNCTION("GOOGLETRANSLATE($A50,""en"",""pt-BR"")"),"Neurofisiologia")</f>
        <v>Neurofisiologia</v>
      </c>
    </row>
    <row r="51" spans="1:10" ht="15.75" customHeight="1" x14ac:dyDescent="0.15">
      <c r="A51" s="9" t="str">
        <f ca="1">IFERROR(__xludf.DUMMYFUNCTION("""COMPUTED_VALUE"""),"Neurosurgery")</f>
        <v>Neurosurgery</v>
      </c>
      <c r="B51" s="9" t="str">
        <f ca="1">IFERROR(__xludf.DUMMYFUNCTION("""COMPUTED_VALUE"""),"SUNY")</f>
        <v>SUNY</v>
      </c>
      <c r="C51" s="3" t="str">
        <f ca="1">IFERROR(__xludf.DUMMYFUNCTION("GOOGLETRANSLATE($A51,""en"",""de"")"),"Neurochirurgie")</f>
        <v>Neurochirurgie</v>
      </c>
      <c r="D51" s="3" t="str">
        <f ca="1">IFERROR(__xludf.DUMMYFUNCTION("GOOGLETRANSLATE($A51,""en"",""fr"")"),"Neurochirurgie")</f>
        <v>Neurochirurgie</v>
      </c>
      <c r="E51" s="3" t="str">
        <f ca="1">IFERROR(__xludf.DUMMYFUNCTION("GOOGLETRANSLATE($A51,""en"",""es"")"),"Neurocirugía")</f>
        <v>Neurocirugía</v>
      </c>
      <c r="F51" s="3" t="str">
        <f ca="1">IFERROR(__xludf.DUMMYFUNCTION("GOOGLETRANSLATE($A51,""en"",""it"")"),"Neurochirurgia")</f>
        <v>Neurochirurgia</v>
      </c>
      <c r="G51" s="3" t="str">
        <f ca="1">IFERROR(__xludf.DUMMYFUNCTION("GOOGLETRANSLATE($A51,""en"",""zh-cn"")"),"神经外科")</f>
        <v>神经外科</v>
      </c>
      <c r="H51" s="3" t="str">
        <f ca="1">IFERROR(__xludf.DUMMYFUNCTION("GOOGLETRANSLATE($A51,""en"",""ja"")"),"脳神経外科")</f>
        <v>脳神経外科</v>
      </c>
      <c r="I51" s="3" t="str">
        <f ca="1">IFERROR(__xludf.DUMMYFUNCTION("GOOGLETRANSLATE($A51,""en"",""ko"")"),"신경외과")</f>
        <v>신경외과</v>
      </c>
      <c r="J51" s="3" t="str">
        <f ca="1">IFERROR(__xludf.DUMMYFUNCTION("GOOGLETRANSLATE($A51,""en"",""pt-BR"")"),"Neurocirurgia")</f>
        <v>Neurocirurgia</v>
      </c>
    </row>
    <row r="52" spans="1:10" ht="15.75" customHeight="1" x14ac:dyDescent="0.15">
      <c r="A52" s="9" t="str">
        <f ca="1">IFERROR(__xludf.DUMMYFUNCTION("""COMPUTED_VALUE"""),"Nuclear Medicine")</f>
        <v>Nuclear Medicine</v>
      </c>
      <c r="B52" s="9" t="str">
        <f ca="1">IFERROR(__xludf.DUMMYFUNCTION("""COMPUTED_VALUE"""),"RYNM")</f>
        <v>RYNM</v>
      </c>
      <c r="C52" s="3" t="str">
        <f ca="1">IFERROR(__xludf.DUMMYFUNCTION("GOOGLETRANSLATE($A52,""en"",""de"")"),"Nuklearmedizin")</f>
        <v>Nuklearmedizin</v>
      </c>
      <c r="D52" s="3" t="str">
        <f ca="1">IFERROR(__xludf.DUMMYFUNCTION("GOOGLETRANSLATE($A52,""en"",""fr"")"),"Médecine nucléaire")</f>
        <v>Médecine nucléaire</v>
      </c>
      <c r="E52" s="3" t="str">
        <f ca="1">IFERROR(__xludf.DUMMYFUNCTION("GOOGLETRANSLATE($A52,""en"",""es"")"),"Medicina Nuclear")</f>
        <v>Medicina Nuclear</v>
      </c>
      <c r="F52" s="3" t="str">
        <f ca="1">IFERROR(__xludf.DUMMYFUNCTION("GOOGLETRANSLATE($A52,""en"",""it"")"),"Medicina nucleare")</f>
        <v>Medicina nucleare</v>
      </c>
      <c r="G52" s="3" t="str">
        <f ca="1">IFERROR(__xludf.DUMMYFUNCTION("GOOGLETRANSLATE($A52,""en"",""zh-cn"")"),"核医学")</f>
        <v>核医学</v>
      </c>
      <c r="H52" s="3" t="str">
        <f ca="1">IFERROR(__xludf.DUMMYFUNCTION("GOOGLETRANSLATE($A52,""en"",""ja"")"),"核医学")</f>
        <v>核医学</v>
      </c>
      <c r="I52" s="3" t="str">
        <f ca="1">IFERROR(__xludf.DUMMYFUNCTION("GOOGLETRANSLATE($A52,""en"",""ko"")"),"핵 의학")</f>
        <v>핵 의학</v>
      </c>
      <c r="J52" s="3" t="str">
        <f ca="1">IFERROR(__xludf.DUMMYFUNCTION("GOOGLETRANSLATE($A52,""en"",""pt-BR"")"),"Medicina nuclear")</f>
        <v>Medicina nuclear</v>
      </c>
    </row>
    <row r="53" spans="1:10" ht="15.75" customHeight="1" x14ac:dyDescent="0.15">
      <c r="A53" s="9" t="str">
        <f ca="1">IFERROR(__xludf.DUMMYFUNCTION("""COMPUTED_VALUE"""),"Nursing")</f>
        <v>Nursing</v>
      </c>
      <c r="B53" s="9" t="str">
        <f ca="1">IFERROR(__xludf.DUMMYFUNCTION("""COMPUTED_VALUE"""),"NU")</f>
        <v>NU</v>
      </c>
      <c r="C53" s="3" t="str">
        <f ca="1">IFERROR(__xludf.DUMMYFUNCTION("GOOGLETRANSLATE($A53,""en"",""de"")"),"Pflege")</f>
        <v>Pflege</v>
      </c>
      <c r="D53" s="3" t="str">
        <f ca="1">IFERROR(__xludf.DUMMYFUNCTION("GOOGLETRANSLATE($A53,""en"",""fr"")"),"Allaitement")</f>
        <v>Allaitement</v>
      </c>
      <c r="E53" s="3" t="str">
        <f ca="1">IFERROR(__xludf.DUMMYFUNCTION("GOOGLETRANSLATE($A53,""en"",""es"")"),"Enfermería")</f>
        <v>Enfermería</v>
      </c>
      <c r="F53" s="3" t="str">
        <f ca="1">IFERROR(__xludf.DUMMYFUNCTION("GOOGLETRANSLATE($A53,""en"",""it"")"),"Assistenza infermieristica")</f>
        <v>Assistenza infermieristica</v>
      </c>
      <c r="G53" s="3" t="str">
        <f ca="1">IFERROR(__xludf.DUMMYFUNCTION("GOOGLETRANSLATE($A53,""en"",""zh-cn"")"),"护理")</f>
        <v>护理</v>
      </c>
      <c r="H53" s="3" t="str">
        <f ca="1">IFERROR(__xludf.DUMMYFUNCTION("GOOGLETRANSLATE($A53,""en"",""ja"")"),"看護")</f>
        <v>看護</v>
      </c>
      <c r="I53" s="3" t="str">
        <f ca="1">IFERROR(__xludf.DUMMYFUNCTION("GOOGLETRANSLATE($A53,""en"",""ko"")"),"육아")</f>
        <v>육아</v>
      </c>
      <c r="J53" s="3" t="str">
        <f ca="1">IFERROR(__xludf.DUMMYFUNCTION("GOOGLETRANSLATE($A53,""en"",""pt-BR"")"),"Enfermagem")</f>
        <v>Enfermagem</v>
      </c>
    </row>
    <row r="54" spans="1:10" ht="15.75" customHeight="1" x14ac:dyDescent="0.15">
      <c r="A54" s="9" t="str">
        <f ca="1">IFERROR(__xludf.DUMMYFUNCTION("""COMPUTED_VALUE"""),"Nutrition")</f>
        <v>Nutrition</v>
      </c>
      <c r="B54" s="9" t="str">
        <f ca="1">IFERROR(__xludf.DUMMYFUNCTION("""COMPUTED_VALUE"""),"GPNT")</f>
        <v>GPNT</v>
      </c>
      <c r="C54" s="3" t="str">
        <f ca="1">IFERROR(__xludf.DUMMYFUNCTION("GOOGLETRANSLATE($A54,""en"",""de"")"),"Ernährung")</f>
        <v>Ernährung</v>
      </c>
      <c r="D54" s="3" t="str">
        <f ca="1">IFERROR(__xludf.DUMMYFUNCTION("GOOGLETRANSLATE($A54,""en"",""fr"")"),"Nutrition")</f>
        <v>Nutrition</v>
      </c>
      <c r="E54" s="3" t="str">
        <f ca="1">IFERROR(__xludf.DUMMYFUNCTION("GOOGLETRANSLATE($A54,""en"",""es"")"),"Nutrición")</f>
        <v>Nutrición</v>
      </c>
      <c r="F54" s="3" t="str">
        <f ca="1">IFERROR(__xludf.DUMMYFUNCTION("GOOGLETRANSLATE($A54,""en"",""it"")"),"Nutrizione")</f>
        <v>Nutrizione</v>
      </c>
      <c r="G54" s="3" t="str">
        <f ca="1">IFERROR(__xludf.DUMMYFUNCTION("GOOGLETRANSLATE($A54,""en"",""zh-cn"")"),"营养")</f>
        <v>营养</v>
      </c>
      <c r="H54" s="3" t="str">
        <f ca="1">IFERROR(__xludf.DUMMYFUNCTION("GOOGLETRANSLATE($A54,""en"",""ja"")"),"栄養")</f>
        <v>栄養</v>
      </c>
      <c r="I54" s="3" t="str">
        <f ca="1">IFERROR(__xludf.DUMMYFUNCTION("GOOGLETRANSLATE($A54,""en"",""ko"")"),"영양물 섭취")</f>
        <v>영양물 섭취</v>
      </c>
      <c r="J54" s="3" t="str">
        <f ca="1">IFERROR(__xludf.DUMMYFUNCTION("GOOGLETRANSLATE($A54,""en"",""pt-BR"")"),"Nutrição")</f>
        <v>Nutrição</v>
      </c>
    </row>
    <row r="55" spans="1:10" ht="15.75" customHeight="1" x14ac:dyDescent="0.15">
      <c r="A55" s="9" t="str">
        <f ca="1">IFERROR(__xludf.DUMMYFUNCTION("""COMPUTED_VALUE"""),"Obesity Medicine")</f>
        <v>Obesity Medicine</v>
      </c>
      <c r="B55" s="9" t="str">
        <f ca="1">IFERROR(__xludf.DUMMYFUNCTION("""COMPUTED_VALUE"""),"EDOB")</f>
        <v>EDOB</v>
      </c>
      <c r="C55" s="3" t="str">
        <f ca="1">IFERROR(__xludf.DUMMYFUNCTION("GOOGLETRANSLATE($A55,""en"",""de"")"),"Adipositas-Medizin")</f>
        <v>Adipositas-Medizin</v>
      </c>
      <c r="D55" s="3" t="str">
        <f ca="1">IFERROR(__xludf.DUMMYFUNCTION("GOOGLETRANSLATE($A55,""en"",""fr"")"),"Médecine de l'obésité")</f>
        <v>Médecine de l'obésité</v>
      </c>
      <c r="E55" s="3" t="str">
        <f ca="1">IFERROR(__xludf.DUMMYFUNCTION("GOOGLETRANSLATE($A55,""en"",""es"")"),"Medicina de la obesidad")</f>
        <v>Medicina de la obesidad</v>
      </c>
      <c r="F55" s="3" t="str">
        <f ca="1">IFERROR(__xludf.DUMMYFUNCTION("GOOGLETRANSLATE($A55,""en"",""it"")"),"Medicina dell'obesità")</f>
        <v>Medicina dell'obesità</v>
      </c>
      <c r="G55" s="3" t="str">
        <f ca="1">IFERROR(__xludf.DUMMYFUNCTION("GOOGLETRANSLATE($A55,""en"",""zh-cn"")"),"肥胖医学")</f>
        <v>肥胖医学</v>
      </c>
      <c r="H55" s="3" t="str">
        <f ca="1">IFERROR(__xludf.DUMMYFUNCTION("GOOGLETRANSLATE($A55,""en"",""ja"")"),"肥満医学")</f>
        <v>肥満医学</v>
      </c>
      <c r="I55" s="3" t="str">
        <f ca="1">IFERROR(__xludf.DUMMYFUNCTION("GOOGLETRANSLATE($A55,""en"",""ko"")"),"비만의학")</f>
        <v>비만의학</v>
      </c>
      <c r="J55" s="3" t="str">
        <f ca="1">IFERROR(__xludf.DUMMYFUNCTION("GOOGLETRANSLATE($A55,""en"",""pt-BR"")"),"Medicina para obesidade")</f>
        <v>Medicina para obesidade</v>
      </c>
    </row>
    <row r="56" spans="1:10" ht="15.75" customHeight="1" x14ac:dyDescent="0.15">
      <c r="A56" s="9" t="str">
        <f ca="1">IFERROR(__xludf.DUMMYFUNCTION("""COMPUTED_VALUE"""),"Obstetrics")</f>
        <v>Obstetrics</v>
      </c>
      <c r="B56" s="9" t="str">
        <f ca="1">IFERROR(__xludf.DUMMYFUNCTION("""COMPUTED_VALUE"""),"GYOS")</f>
        <v>GYOS</v>
      </c>
      <c r="C56" s="3" t="str">
        <f ca="1">IFERROR(__xludf.DUMMYFUNCTION("GOOGLETRANSLATE($A56,""en"",""de"")"),"Geburtshilfe")</f>
        <v>Geburtshilfe</v>
      </c>
      <c r="D56" s="3" t="str">
        <f ca="1">IFERROR(__xludf.DUMMYFUNCTION("GOOGLETRANSLATE($A56,""en"",""fr"")"),"Obstétrique")</f>
        <v>Obstétrique</v>
      </c>
      <c r="E56" s="3" t="str">
        <f ca="1">IFERROR(__xludf.DUMMYFUNCTION("GOOGLETRANSLATE($A56,""en"",""es"")"),"Obstetricia")</f>
        <v>Obstetricia</v>
      </c>
      <c r="F56" s="3" t="str">
        <f ca="1">IFERROR(__xludf.DUMMYFUNCTION("GOOGLETRANSLATE($A56,""en"",""it"")"),"Ostetricia")</f>
        <v>Ostetricia</v>
      </c>
      <c r="G56" s="3" t="str">
        <f ca="1">IFERROR(__xludf.DUMMYFUNCTION("GOOGLETRANSLATE($A56,""en"",""zh-cn"")"),"产科")</f>
        <v>产科</v>
      </c>
      <c r="H56" s="3" t="str">
        <f ca="1">IFERROR(__xludf.DUMMYFUNCTION("GOOGLETRANSLATE($A56,""en"",""ja"")"),"産科")</f>
        <v>産科</v>
      </c>
      <c r="I56" s="3" t="str">
        <f ca="1">IFERROR(__xludf.DUMMYFUNCTION("GOOGLETRANSLATE($A56,""en"",""ko"")"),"산과학")</f>
        <v>산과학</v>
      </c>
      <c r="J56" s="3" t="str">
        <f ca="1">IFERROR(__xludf.DUMMYFUNCTION("GOOGLETRANSLATE($A56,""en"",""pt-BR"")"),"Obstetrícia")</f>
        <v>Obstetrícia</v>
      </c>
    </row>
    <row r="57" spans="1:10" ht="15.75" customHeight="1" x14ac:dyDescent="0.15">
      <c r="A57" s="9" t="str">
        <f ca="1">IFERROR(__xludf.DUMMYFUNCTION("""COMPUTED_VALUE"""),"Occupational Medicine")</f>
        <v>Occupational Medicine</v>
      </c>
      <c r="B57" s="9" t="str">
        <f ca="1">IFERROR(__xludf.DUMMYFUNCTION("""COMPUTED_VALUE"""),"GPOC")</f>
        <v>GPOC</v>
      </c>
      <c r="C57" s="3" t="str">
        <f ca="1">IFERROR(__xludf.DUMMYFUNCTION("GOOGLETRANSLATE($A57,""en"",""de"")"),"Arbeitsmedizin")</f>
        <v>Arbeitsmedizin</v>
      </c>
      <c r="D57" s="3" t="str">
        <f ca="1">IFERROR(__xludf.DUMMYFUNCTION("GOOGLETRANSLATE($A57,""en"",""fr"")"),"Médecine du travail")</f>
        <v>Médecine du travail</v>
      </c>
      <c r="E57" s="3" t="str">
        <f ca="1">IFERROR(__xludf.DUMMYFUNCTION("GOOGLETRANSLATE($A57,""en"",""es"")"),"Medicina Ocupacional")</f>
        <v>Medicina Ocupacional</v>
      </c>
      <c r="F57" s="3" t="str">
        <f ca="1">IFERROR(__xludf.DUMMYFUNCTION("GOOGLETRANSLATE($A57,""en"",""it"")"),"Medicina del lavoro")</f>
        <v>Medicina del lavoro</v>
      </c>
      <c r="G57" s="3" t="str">
        <f ca="1">IFERROR(__xludf.DUMMYFUNCTION("GOOGLETRANSLATE($A57,""en"",""zh-cn"")"),"职业医学")</f>
        <v>职业医学</v>
      </c>
      <c r="H57" s="3" t="str">
        <f ca="1">IFERROR(__xludf.DUMMYFUNCTION("GOOGLETRANSLATE($A57,""en"",""ja"")"),"産業医学")</f>
        <v>産業医学</v>
      </c>
      <c r="I57" s="3" t="str">
        <f ca="1">IFERROR(__xludf.DUMMYFUNCTION("GOOGLETRANSLATE($A57,""en"",""ko"")"),"직업의학")</f>
        <v>직업의학</v>
      </c>
      <c r="J57" s="3" t="str">
        <f ca="1">IFERROR(__xludf.DUMMYFUNCTION("GOOGLETRANSLATE($A57,""en"",""pt-BR"")"),"Medicina Ocupacional")</f>
        <v>Medicina Ocupacional</v>
      </c>
    </row>
    <row r="58" spans="1:10" ht="15.75" customHeight="1" x14ac:dyDescent="0.15">
      <c r="A58" s="9" t="str">
        <f ca="1">IFERROR(__xludf.DUMMYFUNCTION("""COMPUTED_VALUE"""),"Oncology")</f>
        <v>Oncology</v>
      </c>
      <c r="B58" s="9" t="str">
        <f ca="1">IFERROR(__xludf.DUMMYFUNCTION("""COMPUTED_VALUE"""),"ON")</f>
        <v>ON</v>
      </c>
      <c r="C58" s="3" t="str">
        <f ca="1">IFERROR(__xludf.DUMMYFUNCTION("GOOGLETRANSLATE($A58,""en"",""de"")"),"Onkologie")</f>
        <v>Onkologie</v>
      </c>
      <c r="D58" s="3" t="str">
        <f ca="1">IFERROR(__xludf.DUMMYFUNCTION("GOOGLETRANSLATE($A58,""en"",""fr"")"),"Oncologie")</f>
        <v>Oncologie</v>
      </c>
      <c r="E58" s="3" t="str">
        <f ca="1">IFERROR(__xludf.DUMMYFUNCTION("GOOGLETRANSLATE($A58,""en"",""es"")"),"Oncología")</f>
        <v>Oncología</v>
      </c>
      <c r="F58" s="3" t="str">
        <f ca="1">IFERROR(__xludf.DUMMYFUNCTION("GOOGLETRANSLATE($A58,""en"",""it"")"),"Oncologia")</f>
        <v>Oncologia</v>
      </c>
      <c r="G58" s="3" t="str">
        <f ca="1">IFERROR(__xludf.DUMMYFUNCTION("GOOGLETRANSLATE($A58,""en"",""zh-cn"")"),"肿瘤学")</f>
        <v>肿瘤学</v>
      </c>
      <c r="H58" s="3" t="str">
        <f ca="1">IFERROR(__xludf.DUMMYFUNCTION("GOOGLETRANSLATE($A58,""en"",""ja"")"),"腫瘍学")</f>
        <v>腫瘍学</v>
      </c>
      <c r="I58" s="3" t="str">
        <f ca="1">IFERROR(__xludf.DUMMYFUNCTION("GOOGLETRANSLATE($A58,""en"",""ko"")"),"종양학")</f>
        <v>종양학</v>
      </c>
      <c r="J58" s="3" t="str">
        <f ca="1">IFERROR(__xludf.DUMMYFUNCTION("GOOGLETRANSLATE($A58,""en"",""pt-BR"")"),"Oncologia")</f>
        <v>Oncologia</v>
      </c>
    </row>
    <row r="59" spans="1:10" ht="15.75" customHeight="1" x14ac:dyDescent="0.15">
      <c r="A59" s="9" t="str">
        <f ca="1">IFERROR(__xludf.DUMMYFUNCTION("""COMPUTED_VALUE"""),"Ophthalmology")</f>
        <v>Ophthalmology</v>
      </c>
      <c r="B59" s="9" t="str">
        <f ca="1">IFERROR(__xludf.DUMMYFUNCTION("""COMPUTED_VALUE"""),"OH")</f>
        <v>OH</v>
      </c>
      <c r="C59" s="3" t="str">
        <f ca="1">IFERROR(__xludf.DUMMYFUNCTION("GOOGLETRANSLATE($A59,""en"",""de"")"),"Augenheilkunde")</f>
        <v>Augenheilkunde</v>
      </c>
      <c r="D59" s="3" t="str">
        <f ca="1">IFERROR(__xludf.DUMMYFUNCTION("GOOGLETRANSLATE($A59,""en"",""fr"")"),"Ophtalmologie")</f>
        <v>Ophtalmologie</v>
      </c>
      <c r="E59" s="3" t="str">
        <f ca="1">IFERROR(__xludf.DUMMYFUNCTION("GOOGLETRANSLATE($A59,""en"",""es"")"),"Oftalmología")</f>
        <v>Oftalmología</v>
      </c>
      <c r="F59" s="3" t="str">
        <f ca="1">IFERROR(__xludf.DUMMYFUNCTION("GOOGLETRANSLATE($A59,""en"",""it"")"),"Oftalmologia")</f>
        <v>Oftalmologia</v>
      </c>
      <c r="G59" s="3" t="str">
        <f ca="1">IFERROR(__xludf.DUMMYFUNCTION("GOOGLETRANSLATE($A59,""en"",""zh-cn"")"),"眼科")</f>
        <v>眼科</v>
      </c>
      <c r="H59" s="3" t="str">
        <f ca="1">IFERROR(__xludf.DUMMYFUNCTION("GOOGLETRANSLATE($A59,""en"",""ja"")"),"眼科")</f>
        <v>眼科</v>
      </c>
      <c r="I59" s="3" t="str">
        <f ca="1">IFERROR(__xludf.DUMMYFUNCTION("GOOGLETRANSLATE($A59,""en"",""ko"")"),"안과학")</f>
        <v>안과학</v>
      </c>
      <c r="J59" s="3" t="str">
        <f ca="1">IFERROR(__xludf.DUMMYFUNCTION("GOOGLETRANSLATE($A59,""en"",""pt-BR"")"),"Oftalmologia")</f>
        <v>Oftalmologia</v>
      </c>
    </row>
    <row r="60" spans="1:10" ht="13" x14ac:dyDescent="0.15">
      <c r="A60" s="9" t="str">
        <f ca="1">IFERROR(__xludf.DUMMYFUNCTION("""COMPUTED_VALUE"""),"Optometry")</f>
        <v>Optometry</v>
      </c>
      <c r="B60" s="9" t="str">
        <f ca="1">IFERROR(__xludf.DUMMYFUNCTION("""COMPUTED_VALUE"""),"OHOP")</f>
        <v>OHOP</v>
      </c>
      <c r="C60" s="3" t="str">
        <f ca="1">IFERROR(__xludf.DUMMYFUNCTION("GOOGLETRANSLATE($A60,""en"",""de"")"),"Optometrie")</f>
        <v>Optometrie</v>
      </c>
      <c r="D60" s="3" t="str">
        <f ca="1">IFERROR(__xludf.DUMMYFUNCTION("GOOGLETRANSLATE($A60,""en"",""fr"")"),"Optométrie")</f>
        <v>Optométrie</v>
      </c>
      <c r="E60" s="3" t="str">
        <f ca="1">IFERROR(__xludf.DUMMYFUNCTION("GOOGLETRANSLATE($A60,""en"",""es"")"),"Optometría")</f>
        <v>Optometría</v>
      </c>
      <c r="F60" s="3" t="str">
        <f ca="1">IFERROR(__xludf.DUMMYFUNCTION("GOOGLETRANSLATE($A60,""en"",""it"")"),"Optometria")</f>
        <v>Optometria</v>
      </c>
      <c r="G60" s="3" t="str">
        <f ca="1">IFERROR(__xludf.DUMMYFUNCTION("GOOGLETRANSLATE($A60,""en"",""zh-cn"")"),"验光")</f>
        <v>验光</v>
      </c>
      <c r="H60" s="3" t="str">
        <f ca="1">IFERROR(__xludf.DUMMYFUNCTION("GOOGLETRANSLATE($A60,""en"",""ja"")"),"検眼")</f>
        <v>検眼</v>
      </c>
      <c r="I60" s="3" t="str">
        <f ca="1">IFERROR(__xludf.DUMMYFUNCTION("GOOGLETRANSLATE($A60,""en"",""ko"")"),"검안")</f>
        <v>검안</v>
      </c>
      <c r="J60" s="3" t="str">
        <f ca="1">IFERROR(__xludf.DUMMYFUNCTION("GOOGLETRANSLATE($A60,""en"",""pt-BR"")"),"Optometria")</f>
        <v>Optometria</v>
      </c>
    </row>
    <row r="61" spans="1:10" ht="13" x14ac:dyDescent="0.15">
      <c r="A61" s="9" t="str">
        <f ca="1">IFERROR(__xludf.DUMMYFUNCTION("""COMPUTED_VALUE"""),"Orthopedic Surgery")</f>
        <v>Orthopedic Surgery</v>
      </c>
      <c r="B61" s="9" t="str">
        <f ca="1">IFERROR(__xludf.DUMMYFUNCTION("""COMPUTED_VALUE"""),"SUOP")</f>
        <v>SUOP</v>
      </c>
      <c r="C61" s="3" t="str">
        <f ca="1">IFERROR(__xludf.DUMMYFUNCTION("GOOGLETRANSLATE($A61,""en"",""de"")"),"Orthopädische Operation")</f>
        <v>Orthopädische Operation</v>
      </c>
      <c r="D61" s="3" t="str">
        <f ca="1">IFERROR(__xludf.DUMMYFUNCTION("GOOGLETRANSLATE($A61,""en"",""fr"")"),"Chirurgie orthopédique")</f>
        <v>Chirurgie orthopédique</v>
      </c>
      <c r="E61" s="3" t="str">
        <f ca="1">IFERROR(__xludf.DUMMYFUNCTION("GOOGLETRANSLATE($A61,""en"",""es"")"),"Cirugía Ortopédica")</f>
        <v>Cirugía Ortopédica</v>
      </c>
      <c r="F61" s="3" t="str">
        <f ca="1">IFERROR(__xludf.DUMMYFUNCTION("GOOGLETRANSLATE($A61,""en"",""it"")"),"Chirurgia ortopedica")</f>
        <v>Chirurgia ortopedica</v>
      </c>
      <c r="G61" s="3" t="str">
        <f ca="1">IFERROR(__xludf.DUMMYFUNCTION("GOOGLETRANSLATE($A61,""en"",""zh-cn"")"),"骨科手术")</f>
        <v>骨科手术</v>
      </c>
      <c r="H61" s="3" t="str">
        <f ca="1">IFERROR(__xludf.DUMMYFUNCTION("GOOGLETRANSLATE($A61,""en"",""ja"")"),"整形外科")</f>
        <v>整形外科</v>
      </c>
      <c r="I61" s="3" t="str">
        <f ca="1">IFERROR(__xludf.DUMMYFUNCTION("GOOGLETRANSLATE($A61,""en"",""ko"")"),"정형 외과 수술")</f>
        <v>정형 외과 수술</v>
      </c>
      <c r="J61" s="3" t="str">
        <f ca="1">IFERROR(__xludf.DUMMYFUNCTION("GOOGLETRANSLATE($A61,""en"",""pt-BR"")"),"Cirurgia ortopédica")</f>
        <v>Cirurgia ortopédica</v>
      </c>
    </row>
    <row r="62" spans="1:10" ht="13" x14ac:dyDescent="0.15">
      <c r="A62" s="9" t="str">
        <f ca="1">IFERROR(__xludf.DUMMYFUNCTION("""COMPUTED_VALUE"""),"Otolaryngology")</f>
        <v>Otolaryngology</v>
      </c>
      <c r="B62" s="9" t="str">
        <f ca="1">IFERROR(__xludf.DUMMYFUNCTION("""COMPUTED_VALUE"""),"OT")</f>
        <v>OT</v>
      </c>
      <c r="C62" s="3" t="str">
        <f ca="1">IFERROR(__xludf.DUMMYFUNCTION("GOOGLETRANSLATE($A62,""en"",""de"")"),"HNO-Heilkunde")</f>
        <v>HNO-Heilkunde</v>
      </c>
      <c r="D62" s="3" t="str">
        <f ca="1">IFERROR(__xludf.DUMMYFUNCTION("GOOGLETRANSLATE($A62,""en"",""fr"")"),"Otolaryngologie")</f>
        <v>Otolaryngologie</v>
      </c>
      <c r="E62" s="3" t="str">
        <f ca="1">IFERROR(__xludf.DUMMYFUNCTION("GOOGLETRANSLATE($A62,""en"",""es"")"),"Otorrinolaringología")</f>
        <v>Otorrinolaringología</v>
      </c>
      <c r="F62" s="3" t="str">
        <f ca="1">IFERROR(__xludf.DUMMYFUNCTION("GOOGLETRANSLATE($A62,""en"",""it"")"),"Otorinolaringoiatria")</f>
        <v>Otorinolaringoiatria</v>
      </c>
      <c r="G62" s="3" t="str">
        <f ca="1">IFERROR(__xludf.DUMMYFUNCTION("GOOGLETRANSLATE($A62,""en"",""zh-cn"")"),"耳鼻喉科")</f>
        <v>耳鼻喉科</v>
      </c>
      <c r="H62" s="3" t="str">
        <f ca="1">IFERROR(__xludf.DUMMYFUNCTION("GOOGLETRANSLATE($A62,""en"",""ja"")"),"耳鼻科")</f>
        <v>耳鼻科</v>
      </c>
      <c r="I62" s="3" t="str">
        <f ca="1">IFERROR(__xludf.DUMMYFUNCTION("GOOGLETRANSLATE($A62,""en"",""ko"")"),"이비인후과")</f>
        <v>이비인후과</v>
      </c>
      <c r="J62" s="3" t="str">
        <f ca="1">IFERROR(__xludf.DUMMYFUNCTION("GOOGLETRANSLATE($A62,""en"",""pt-BR"")"),"Otorrinolaringologia")</f>
        <v>Otorrinolaringologia</v>
      </c>
    </row>
    <row r="63" spans="1:10" ht="13" x14ac:dyDescent="0.15">
      <c r="A63" s="9" t="str">
        <f ca="1">IFERROR(__xludf.DUMMYFUNCTION("""COMPUTED_VALUE"""),"Pain Medicine")</f>
        <v>Pain Medicine</v>
      </c>
      <c r="B63" s="9" t="str">
        <f ca="1">IFERROR(__xludf.DUMMYFUNCTION("""COMPUTED_VALUE"""),"PN")</f>
        <v>PN</v>
      </c>
      <c r="C63" s="3" t="str">
        <f ca="1">IFERROR(__xludf.DUMMYFUNCTION("GOOGLETRANSLATE($A63,""en"",""de"")"),"Schmerzmittel")</f>
        <v>Schmerzmittel</v>
      </c>
      <c r="D63" s="3" t="str">
        <f ca="1">IFERROR(__xludf.DUMMYFUNCTION("GOOGLETRANSLATE($A63,""en"",""fr"")"),"Médicament contre la douleur")</f>
        <v>Médicament contre la douleur</v>
      </c>
      <c r="E63" s="3" t="str">
        <f ca="1">IFERROR(__xludf.DUMMYFUNCTION("GOOGLETRANSLATE($A63,""en"",""es"")"),"Medicina para el dolor")</f>
        <v>Medicina para el dolor</v>
      </c>
      <c r="F63" s="3" t="str">
        <f ca="1">IFERROR(__xludf.DUMMYFUNCTION("GOOGLETRANSLATE($A63,""en"",""it"")"),"Medicina del dolore")</f>
        <v>Medicina del dolore</v>
      </c>
      <c r="G63" s="3" t="str">
        <f ca="1">IFERROR(__xludf.DUMMYFUNCTION("GOOGLETRANSLATE($A63,""en"",""zh-cn"")"),"止痛药")</f>
        <v>止痛药</v>
      </c>
      <c r="H63" s="3" t="str">
        <f ca="1">IFERROR(__xludf.DUMMYFUNCTION("GOOGLETRANSLATE($A63,""en"",""ja"")"),"鎮痛剤")</f>
        <v>鎮痛剤</v>
      </c>
      <c r="I63" s="3" t="str">
        <f ca="1">IFERROR(__xludf.DUMMYFUNCTION("GOOGLETRANSLATE($A63,""en"",""ko"")"),"통증의학")</f>
        <v>통증의학</v>
      </c>
      <c r="J63" s="3" t="str">
        <f ca="1">IFERROR(__xludf.DUMMYFUNCTION("GOOGLETRANSLATE($A63,""en"",""pt-BR"")"),"Analgésico")</f>
        <v>Analgésico</v>
      </c>
    </row>
    <row r="64" spans="1:10" ht="13" x14ac:dyDescent="0.15">
      <c r="A64" s="9" t="str">
        <f ca="1">IFERROR(__xludf.DUMMYFUNCTION("""COMPUTED_VALUE"""),"Palliative Medicine")</f>
        <v>Palliative Medicine</v>
      </c>
      <c r="B64" s="9" t="str">
        <f ca="1">IFERROR(__xludf.DUMMYFUNCTION("""COMPUTED_VALUE"""),"PV")</f>
        <v>PV</v>
      </c>
      <c r="C64" s="3" t="str">
        <f ca="1">IFERROR(__xludf.DUMMYFUNCTION("GOOGLETRANSLATE($A64,""en"",""de"")"),"Palliativmedizin")</f>
        <v>Palliativmedizin</v>
      </c>
      <c r="D64" s="3" t="str">
        <f ca="1">IFERROR(__xludf.DUMMYFUNCTION("GOOGLETRANSLATE($A64,""en"",""fr"")"),"Médecine palliative")</f>
        <v>Médecine palliative</v>
      </c>
      <c r="E64" s="3" t="str">
        <f ca="1">IFERROR(__xludf.DUMMYFUNCTION("GOOGLETRANSLATE($A64,""en"",""es"")"),"Medicina paliativa")</f>
        <v>Medicina paliativa</v>
      </c>
      <c r="F64" s="3" t="str">
        <f ca="1">IFERROR(__xludf.DUMMYFUNCTION("GOOGLETRANSLATE($A64,""en"",""it"")"),"Medicina palliativa")</f>
        <v>Medicina palliativa</v>
      </c>
      <c r="G64" s="3" t="str">
        <f ca="1">IFERROR(__xludf.DUMMYFUNCTION("GOOGLETRANSLATE($A64,""en"",""zh-cn"")"),"姑息医学")</f>
        <v>姑息医学</v>
      </c>
      <c r="H64" s="3" t="str">
        <f ca="1">IFERROR(__xludf.DUMMYFUNCTION("GOOGLETRANSLATE($A64,""en"",""ja"")"),"緩和医療")</f>
        <v>緩和医療</v>
      </c>
      <c r="I64" s="3" t="str">
        <f ca="1">IFERROR(__xludf.DUMMYFUNCTION("GOOGLETRANSLATE($A64,""en"",""ko"")"),"완화의학")</f>
        <v>완화의학</v>
      </c>
      <c r="J64" s="3" t="str">
        <f ca="1">IFERROR(__xludf.DUMMYFUNCTION("GOOGLETRANSLATE($A64,""en"",""pt-BR"")"),"Medicina Paliativa")</f>
        <v>Medicina Paliativa</v>
      </c>
    </row>
    <row r="65" spans="1:10" ht="13" x14ac:dyDescent="0.15">
      <c r="A65" s="9" t="str">
        <f ca="1">IFERROR(__xludf.DUMMYFUNCTION("""COMPUTED_VALUE"""),"Pathology")</f>
        <v>Pathology</v>
      </c>
      <c r="B65" s="9" t="str">
        <f ca="1">IFERROR(__xludf.DUMMYFUNCTION("""COMPUTED_VALUE"""),"PT")</f>
        <v>PT</v>
      </c>
      <c r="C65" s="3" t="str">
        <f ca="1">IFERROR(__xludf.DUMMYFUNCTION("GOOGLETRANSLATE($A65,""en"",""de"")"),"Pathologie")</f>
        <v>Pathologie</v>
      </c>
      <c r="D65" s="3" t="str">
        <f ca="1">IFERROR(__xludf.DUMMYFUNCTION("GOOGLETRANSLATE($A65,""en"",""fr"")"),"Pathologie")</f>
        <v>Pathologie</v>
      </c>
      <c r="E65" s="3" t="str">
        <f ca="1">IFERROR(__xludf.DUMMYFUNCTION("GOOGLETRANSLATE($A65,""en"",""es"")"),"Patología")</f>
        <v>Patología</v>
      </c>
      <c r="F65" s="3" t="str">
        <f ca="1">IFERROR(__xludf.DUMMYFUNCTION("GOOGLETRANSLATE($A65,""en"",""it"")"),"Patologia")</f>
        <v>Patologia</v>
      </c>
      <c r="G65" s="3" t="str">
        <f ca="1">IFERROR(__xludf.DUMMYFUNCTION("GOOGLETRANSLATE($A65,""en"",""zh-cn"")"),"病理")</f>
        <v>病理</v>
      </c>
      <c r="H65" s="3" t="str">
        <f ca="1">IFERROR(__xludf.DUMMYFUNCTION("GOOGLETRANSLATE($A65,""en"",""ja"")"),"病理学")</f>
        <v>病理学</v>
      </c>
      <c r="I65" s="3" t="str">
        <f ca="1">IFERROR(__xludf.DUMMYFUNCTION("GOOGLETRANSLATE($A65,""en"",""ko"")"),"병리학")</f>
        <v>병리학</v>
      </c>
      <c r="J65" s="3" t="str">
        <f ca="1">IFERROR(__xludf.DUMMYFUNCTION("GOOGLETRANSLATE($A65,""en"",""pt-BR"")"),"Patologia")</f>
        <v>Patologia</v>
      </c>
    </row>
    <row r="66" spans="1:10" ht="13" x14ac:dyDescent="0.15">
      <c r="A66" s="9" t="str">
        <f ca="1">IFERROR(__xludf.DUMMYFUNCTION("""COMPUTED_VALUE"""),"Pediatric Cardiology")</f>
        <v>Pediatric Cardiology</v>
      </c>
      <c r="B66" s="9" t="str">
        <f ca="1">IFERROR(__xludf.DUMMYFUNCTION("""COMPUTED_VALUE"""),"PDCD")</f>
        <v>PDCD</v>
      </c>
      <c r="C66" s="3" t="str">
        <f ca="1">IFERROR(__xludf.DUMMYFUNCTION("GOOGLETRANSLATE($A66,""en"",""de"")"),"Kinderkardiologie")</f>
        <v>Kinderkardiologie</v>
      </c>
      <c r="D66" s="3" t="str">
        <f ca="1">IFERROR(__xludf.DUMMYFUNCTION("GOOGLETRANSLATE($A66,""en"",""fr"")"),"Cardiologie pédiatrique")</f>
        <v>Cardiologie pédiatrique</v>
      </c>
      <c r="E66" s="3" t="str">
        <f ca="1">IFERROR(__xludf.DUMMYFUNCTION("GOOGLETRANSLATE($A66,""en"",""es"")"),"Cardiología Pediátrica")</f>
        <v>Cardiología Pediátrica</v>
      </c>
      <c r="F66" s="3" t="str">
        <f ca="1">IFERROR(__xludf.DUMMYFUNCTION("GOOGLETRANSLATE($A66,""en"",""it"")"),"Cardiologia Pediatrica")</f>
        <v>Cardiologia Pediatrica</v>
      </c>
      <c r="G66" s="3" t="str">
        <f ca="1">IFERROR(__xludf.DUMMYFUNCTION("GOOGLETRANSLATE($A66,""en"",""zh-cn"")"),"小儿心脏病学")</f>
        <v>小儿心脏病学</v>
      </c>
      <c r="H66" s="3" t="str">
        <f ca="1">IFERROR(__xludf.DUMMYFUNCTION("GOOGLETRANSLATE($A66,""en"",""ja"")"),"小児心臓病学")</f>
        <v>小児心臓病学</v>
      </c>
      <c r="I66" s="3" t="str">
        <f ca="1">IFERROR(__xludf.DUMMYFUNCTION("GOOGLETRANSLATE($A66,""en"",""ko"")"),"소아심장학")</f>
        <v>소아심장학</v>
      </c>
      <c r="J66" s="3" t="str">
        <f ca="1">IFERROR(__xludf.DUMMYFUNCTION("GOOGLETRANSLATE($A66,""en"",""pt-BR"")"),"Cardiologia Pediátrica")</f>
        <v>Cardiologia Pediátrica</v>
      </c>
    </row>
    <row r="67" spans="1:10" ht="13" x14ac:dyDescent="0.15">
      <c r="A67" s="9" t="str">
        <f ca="1">IFERROR(__xludf.DUMMYFUNCTION("""COMPUTED_VALUE"""),"Pediatric Dentistry")</f>
        <v>Pediatric Dentistry</v>
      </c>
      <c r="B67" s="9" t="str">
        <f ca="1">IFERROR(__xludf.DUMMYFUNCTION("""COMPUTED_VALUE"""),"PDDT")</f>
        <v>PDDT</v>
      </c>
      <c r="C67" s="3" t="str">
        <f ca="1">IFERROR(__xludf.DUMMYFUNCTION("GOOGLETRANSLATE($A67,""en"",""de"")"),"Kinderzahnheilkunde")</f>
        <v>Kinderzahnheilkunde</v>
      </c>
      <c r="D67" s="3" t="str">
        <f ca="1">IFERROR(__xludf.DUMMYFUNCTION("GOOGLETRANSLATE($A67,""en"",""fr"")"),"Dentisterie pédiatrique")</f>
        <v>Dentisterie pédiatrique</v>
      </c>
      <c r="E67" s="3" t="str">
        <f ca="1">IFERROR(__xludf.DUMMYFUNCTION("GOOGLETRANSLATE($A67,""en"",""es"")"),"Odontología Pediatrica")</f>
        <v>Odontología Pediatrica</v>
      </c>
      <c r="F67" s="3" t="str">
        <f ca="1">IFERROR(__xludf.DUMMYFUNCTION("GOOGLETRANSLATE($A67,""en"",""it"")"),"Odontoiatria pediatrica")</f>
        <v>Odontoiatria pediatrica</v>
      </c>
      <c r="G67" s="3" t="str">
        <f ca="1">IFERROR(__xludf.DUMMYFUNCTION("GOOGLETRANSLATE($A67,""en"",""zh-cn"")"),"儿童牙科")</f>
        <v>儿童牙科</v>
      </c>
      <c r="H67" s="3" t="str">
        <f ca="1">IFERROR(__xludf.DUMMYFUNCTION("GOOGLETRANSLATE($A67,""en"",""ja"")"),"小児歯科")</f>
        <v>小児歯科</v>
      </c>
      <c r="I67" s="3" t="str">
        <f ca="1">IFERROR(__xludf.DUMMYFUNCTION("GOOGLETRANSLATE($A67,""en"",""ko"")"),"소아치과")</f>
        <v>소아치과</v>
      </c>
      <c r="J67" s="3" t="str">
        <f ca="1">IFERROR(__xludf.DUMMYFUNCTION("GOOGLETRANSLATE($A67,""en"",""pt-BR"")"),"Dentista pediátrico")</f>
        <v>Dentista pediátrico</v>
      </c>
    </row>
    <row r="68" spans="1:10" ht="13" x14ac:dyDescent="0.15">
      <c r="A68" s="9" t="str">
        <f ca="1">IFERROR(__xludf.DUMMYFUNCTION("""COMPUTED_VALUE"""),"Pediatric Endocrinology")</f>
        <v>Pediatric Endocrinology</v>
      </c>
      <c r="B68" s="9" t="str">
        <f ca="1">IFERROR(__xludf.DUMMYFUNCTION("""COMPUTED_VALUE"""),"PDED")</f>
        <v>PDED</v>
      </c>
      <c r="C68" s="3" t="str">
        <f ca="1">IFERROR(__xludf.DUMMYFUNCTION("GOOGLETRANSLATE($A68,""en"",""de"")"),"Pädiatrische Endokrinologie")</f>
        <v>Pädiatrische Endokrinologie</v>
      </c>
      <c r="D68" s="3" t="str">
        <f ca="1">IFERROR(__xludf.DUMMYFUNCTION("GOOGLETRANSLATE($A68,""en"",""fr"")"),"Endocrinologie pédiatrique")</f>
        <v>Endocrinologie pédiatrique</v>
      </c>
      <c r="E68" s="3" t="str">
        <f ca="1">IFERROR(__xludf.DUMMYFUNCTION("GOOGLETRANSLATE($A68,""en"",""es"")"),"Endocrinología Pediátrica")</f>
        <v>Endocrinología Pediátrica</v>
      </c>
      <c r="F68" s="3" t="str">
        <f ca="1">IFERROR(__xludf.DUMMYFUNCTION("GOOGLETRANSLATE($A68,""en"",""it"")"),"Endocrinologia pediatrica")</f>
        <v>Endocrinologia pediatrica</v>
      </c>
      <c r="G68" s="3" t="str">
        <f ca="1">IFERROR(__xludf.DUMMYFUNCTION("GOOGLETRANSLATE($A68,""en"",""zh-cn"")"),"小儿内分泌科")</f>
        <v>小儿内分泌科</v>
      </c>
      <c r="H68" s="3" t="str">
        <f ca="1">IFERROR(__xludf.DUMMYFUNCTION("GOOGLETRANSLATE($A68,""en"",""ja"")"),"小児内分泌学")</f>
        <v>小児内分泌学</v>
      </c>
      <c r="I68" s="3" t="str">
        <f ca="1">IFERROR(__xludf.DUMMYFUNCTION("GOOGLETRANSLATE($A68,""en"",""ko"")"),"소아 내분비학")</f>
        <v>소아 내분비학</v>
      </c>
      <c r="J68" s="3" t="str">
        <f ca="1">IFERROR(__xludf.DUMMYFUNCTION("GOOGLETRANSLATE($A68,""en"",""pt-BR"")"),"Endocrinologia Pediátrica")</f>
        <v>Endocrinologia Pediátrica</v>
      </c>
    </row>
    <row r="69" spans="1:10" ht="13" x14ac:dyDescent="0.15">
      <c r="A69" s="9" t="str">
        <f ca="1">IFERROR(__xludf.DUMMYFUNCTION("""COMPUTED_VALUE"""),"Pediatric Gastroenterology")</f>
        <v>Pediatric Gastroenterology</v>
      </c>
      <c r="B69" s="9" t="str">
        <f ca="1">IFERROR(__xludf.DUMMYFUNCTION("""COMPUTED_VALUE"""),"PDGE")</f>
        <v>PDGE</v>
      </c>
      <c r="C69" s="3" t="str">
        <f ca="1">IFERROR(__xludf.DUMMYFUNCTION("GOOGLETRANSLATE($A69,""en"",""de"")"),"Pädiatrische Gastroenterologie")</f>
        <v>Pädiatrische Gastroenterologie</v>
      </c>
      <c r="D69" s="3" t="str">
        <f ca="1">IFERROR(__xludf.DUMMYFUNCTION("GOOGLETRANSLATE($A69,""en"",""fr"")"),"Gastro-entérologie pédiatrique")</f>
        <v>Gastro-entérologie pédiatrique</v>
      </c>
      <c r="E69" s="3" t="str">
        <f ca="1">IFERROR(__xludf.DUMMYFUNCTION("GOOGLETRANSLATE($A69,""en"",""es"")"),"Gastroenterología Pediátrica")</f>
        <v>Gastroenterología Pediátrica</v>
      </c>
      <c r="F69" s="3" t="str">
        <f ca="1">IFERROR(__xludf.DUMMYFUNCTION("GOOGLETRANSLATE($A69,""en"",""it"")"),"Gastroenterologia pediatrica")</f>
        <v>Gastroenterologia pediatrica</v>
      </c>
      <c r="G69" s="3" t="str">
        <f ca="1">IFERROR(__xludf.DUMMYFUNCTION("GOOGLETRANSLATE($A69,""en"",""zh-cn"")"),"儿科胃肠病学")</f>
        <v>儿科胃肠病学</v>
      </c>
      <c r="H69" s="3" t="str">
        <f ca="1">IFERROR(__xludf.DUMMYFUNCTION("GOOGLETRANSLATE($A69,""en"",""ja"")"),"小児消化器科")</f>
        <v>小児消化器科</v>
      </c>
      <c r="I69" s="3" t="str">
        <f ca="1">IFERROR(__xludf.DUMMYFUNCTION("GOOGLETRANSLATE($A69,""en"",""ko"")"),"소아 위장병학")</f>
        <v>소아 위장병학</v>
      </c>
      <c r="J69" s="3" t="str">
        <f ca="1">IFERROR(__xludf.DUMMYFUNCTION("GOOGLETRANSLATE($A69,""en"",""pt-BR"")"),"Gastroenterologia Pediátrica")</f>
        <v>Gastroenterologia Pediátrica</v>
      </c>
    </row>
    <row r="70" spans="1:10" ht="13" x14ac:dyDescent="0.15">
      <c r="A70" s="9" t="str">
        <f ca="1">IFERROR(__xludf.DUMMYFUNCTION("""COMPUTED_VALUE"""),"Pediatric Neurology")</f>
        <v>Pediatric Neurology</v>
      </c>
      <c r="B70" s="9" t="str">
        <f ca="1">IFERROR(__xludf.DUMMYFUNCTION("""COMPUTED_VALUE"""),"PDNY")</f>
        <v>PDNY</v>
      </c>
      <c r="C70" s="3" t="str">
        <f ca="1">IFERROR(__xludf.DUMMYFUNCTION("GOOGLETRANSLATE($A70,""en"",""de"")"),"Pädiatrische Neurologie")</f>
        <v>Pädiatrische Neurologie</v>
      </c>
      <c r="D70" s="3" t="str">
        <f ca="1">IFERROR(__xludf.DUMMYFUNCTION("GOOGLETRANSLATE($A70,""en"",""fr"")"),"Neurologie pédiatrique")</f>
        <v>Neurologie pédiatrique</v>
      </c>
      <c r="E70" s="3" t="str">
        <f ca="1">IFERROR(__xludf.DUMMYFUNCTION("GOOGLETRANSLATE($A70,""en"",""es"")"),"Neurología Pediátrica")</f>
        <v>Neurología Pediátrica</v>
      </c>
      <c r="F70" s="3" t="str">
        <f ca="1">IFERROR(__xludf.DUMMYFUNCTION("GOOGLETRANSLATE($A70,""en"",""it"")"),"Neurologia pediatrica")</f>
        <v>Neurologia pediatrica</v>
      </c>
      <c r="G70" s="3" t="str">
        <f ca="1">IFERROR(__xludf.DUMMYFUNCTION("GOOGLETRANSLATE($A70,""en"",""zh-cn"")"),"小儿神经病学")</f>
        <v>小儿神经病学</v>
      </c>
      <c r="H70" s="3" t="str">
        <f ca="1">IFERROR(__xludf.DUMMYFUNCTION("GOOGLETRANSLATE($A70,""en"",""ja"")"),"小児神経学")</f>
        <v>小児神経学</v>
      </c>
      <c r="I70" s="3" t="str">
        <f ca="1">IFERROR(__xludf.DUMMYFUNCTION("GOOGLETRANSLATE($A70,""en"",""ko"")"),"소아신경과")</f>
        <v>소아신경과</v>
      </c>
      <c r="J70" s="3" t="str">
        <f ca="1">IFERROR(__xludf.DUMMYFUNCTION("GOOGLETRANSLATE($A70,""en"",""pt-BR"")"),"Neurologia Pediátrica")</f>
        <v>Neurologia Pediátrica</v>
      </c>
    </row>
    <row r="71" spans="1:10" ht="13" x14ac:dyDescent="0.15">
      <c r="A71" s="9" t="str">
        <f ca="1">IFERROR(__xludf.DUMMYFUNCTION("""COMPUTED_VALUE"""),"Pediatric Oncology")</f>
        <v>Pediatric Oncology</v>
      </c>
      <c r="B71" s="9" t="str">
        <f ca="1">IFERROR(__xludf.DUMMYFUNCTION("""COMPUTED_VALUE"""),"PDON")</f>
        <v>PDON</v>
      </c>
      <c r="C71" s="3" t="str">
        <f ca="1">IFERROR(__xludf.DUMMYFUNCTION("GOOGLETRANSLATE($A71,""en"",""de"")"),"Pädiatrische Onkologie")</f>
        <v>Pädiatrische Onkologie</v>
      </c>
      <c r="D71" s="3" t="str">
        <f ca="1">IFERROR(__xludf.DUMMYFUNCTION("GOOGLETRANSLATE($A71,""en"",""fr"")"),"Oncologie pédiatrique")</f>
        <v>Oncologie pédiatrique</v>
      </c>
      <c r="E71" s="3" t="str">
        <f ca="1">IFERROR(__xludf.DUMMYFUNCTION("GOOGLETRANSLATE($A71,""en"",""es"")"),"Oncología Pediátrica")</f>
        <v>Oncología Pediátrica</v>
      </c>
      <c r="F71" s="3" t="str">
        <f ca="1">IFERROR(__xludf.DUMMYFUNCTION("GOOGLETRANSLATE($A71,""en"",""it"")"),"Oncologia Pediatrica")</f>
        <v>Oncologia Pediatrica</v>
      </c>
      <c r="G71" s="3" t="str">
        <f ca="1">IFERROR(__xludf.DUMMYFUNCTION("GOOGLETRANSLATE($A71,""en"",""zh-cn"")"),"儿科肿瘤学")</f>
        <v>儿科肿瘤学</v>
      </c>
      <c r="H71" s="3" t="str">
        <f ca="1">IFERROR(__xludf.DUMMYFUNCTION("GOOGLETRANSLATE($A71,""en"",""ja"")"),"小児腫瘍学")</f>
        <v>小児腫瘍学</v>
      </c>
      <c r="I71" s="3" t="str">
        <f ca="1">IFERROR(__xludf.DUMMYFUNCTION("GOOGLETRANSLATE($A71,""en"",""ko"")"),"소아 종양학")</f>
        <v>소아 종양학</v>
      </c>
      <c r="J71" s="3" t="str">
        <f ca="1">IFERROR(__xludf.DUMMYFUNCTION("GOOGLETRANSLATE($A71,""en"",""pt-BR"")"),"Oncologia Pediátrica")</f>
        <v>Oncologia Pediátrica</v>
      </c>
    </row>
    <row r="72" spans="1:10" ht="13" x14ac:dyDescent="0.15">
      <c r="A72" s="9" t="str">
        <f ca="1">IFERROR(__xludf.DUMMYFUNCTION("""COMPUTED_VALUE"""),"Pediatric Psychiatry")</f>
        <v>Pediatric Psychiatry</v>
      </c>
      <c r="B72" s="9" t="str">
        <f ca="1">IFERROR(__xludf.DUMMYFUNCTION("""COMPUTED_VALUE"""),"PDPY")</f>
        <v>PDPY</v>
      </c>
      <c r="C72" s="3" t="str">
        <f ca="1">IFERROR(__xludf.DUMMYFUNCTION("GOOGLETRANSLATE($A72,""en"",""de"")"),"Kinderpsychiatrie")</f>
        <v>Kinderpsychiatrie</v>
      </c>
      <c r="D72" s="3" t="str">
        <f ca="1">IFERROR(__xludf.DUMMYFUNCTION("GOOGLETRANSLATE($A72,""en"",""fr"")"),"Psychiatrie Pédiatrique")</f>
        <v>Psychiatrie Pédiatrique</v>
      </c>
      <c r="E72" s="3" t="str">
        <f ca="1">IFERROR(__xludf.DUMMYFUNCTION("GOOGLETRANSLATE($A72,""en"",""es"")"),"Psiquiatría pediátrica")</f>
        <v>Psiquiatría pediátrica</v>
      </c>
      <c r="F72" s="3" t="str">
        <f ca="1">IFERROR(__xludf.DUMMYFUNCTION("GOOGLETRANSLATE($A72,""en"",""it"")"),"Psichiatria pediatrica")</f>
        <v>Psichiatria pediatrica</v>
      </c>
      <c r="G72" s="3" t="str">
        <f ca="1">IFERROR(__xludf.DUMMYFUNCTION("GOOGLETRANSLATE($A72,""en"",""zh-cn"")"),"儿科精神病学")</f>
        <v>儿科精神病学</v>
      </c>
      <c r="H72" s="3" t="str">
        <f ca="1">IFERROR(__xludf.DUMMYFUNCTION("GOOGLETRANSLATE($A72,""en"",""ja"")"),"小児精神科")</f>
        <v>小児精神科</v>
      </c>
      <c r="I72" s="3" t="str">
        <f ca="1">IFERROR(__xludf.DUMMYFUNCTION("GOOGLETRANSLATE($A72,""en"",""ko"")"),"소아정신과")</f>
        <v>소아정신과</v>
      </c>
      <c r="J72" s="3" t="str">
        <f ca="1">IFERROR(__xludf.DUMMYFUNCTION("GOOGLETRANSLATE($A72,""en"",""pt-BR"")"),"Psiquiatria Pediátrica")</f>
        <v>Psiquiatria Pediátrica</v>
      </c>
    </row>
    <row r="73" spans="1:10" ht="13" x14ac:dyDescent="0.15">
      <c r="A73" s="9" t="str">
        <f ca="1">IFERROR(__xludf.DUMMYFUNCTION("""COMPUTED_VALUE"""),"Pediatric Pulmonology")</f>
        <v>Pediatric Pulmonology</v>
      </c>
      <c r="B73" s="9" t="str">
        <f ca="1">IFERROR(__xludf.DUMMYFUNCTION("""COMPUTED_VALUE"""),"PDPL")</f>
        <v>PDPL</v>
      </c>
      <c r="C73" s="3" t="str">
        <f ca="1">IFERROR(__xludf.DUMMYFUNCTION("GOOGLETRANSLATE($A73,""en"",""de"")"),"Pädiatrische Pulmonologie")</f>
        <v>Pädiatrische Pulmonologie</v>
      </c>
      <c r="D73" s="3" t="str">
        <f ca="1">IFERROR(__xludf.DUMMYFUNCTION("GOOGLETRANSLATE($A73,""en"",""fr"")"),"Pneumologie pédiatrique")</f>
        <v>Pneumologie pédiatrique</v>
      </c>
      <c r="E73" s="3" t="str">
        <f ca="1">IFERROR(__xludf.DUMMYFUNCTION("GOOGLETRANSLATE($A73,""en"",""es"")"),"Neumología Pediátrica")</f>
        <v>Neumología Pediátrica</v>
      </c>
      <c r="F73" s="3" t="str">
        <f ca="1">IFERROR(__xludf.DUMMYFUNCTION("GOOGLETRANSLATE($A73,""en"",""it"")"),"Pneumologia Pediatrica")</f>
        <v>Pneumologia Pediatrica</v>
      </c>
      <c r="G73" s="3" t="str">
        <f ca="1">IFERROR(__xludf.DUMMYFUNCTION("GOOGLETRANSLATE($A73,""en"",""zh-cn"")"),"儿科肺病学")</f>
        <v>儿科肺病学</v>
      </c>
      <c r="H73" s="3" t="str">
        <f ca="1">IFERROR(__xludf.DUMMYFUNCTION("GOOGLETRANSLATE($A73,""en"",""ja"")"),"小児呼吸器科")</f>
        <v>小児呼吸器科</v>
      </c>
      <c r="I73" s="3" t="str">
        <f ca="1">IFERROR(__xludf.DUMMYFUNCTION("GOOGLETRANSLATE($A73,""en"",""ko"")"),"소아 호흡기내과")</f>
        <v>소아 호흡기내과</v>
      </c>
      <c r="J73" s="3" t="str">
        <f ca="1">IFERROR(__xludf.DUMMYFUNCTION("GOOGLETRANSLATE($A73,""en"",""pt-BR"")"),"Pneumologia Pediátrica")</f>
        <v>Pneumologia Pediátrica</v>
      </c>
    </row>
    <row r="74" spans="1:10" ht="13" x14ac:dyDescent="0.15">
      <c r="A74" s="9" t="str">
        <f ca="1">IFERROR(__xludf.DUMMYFUNCTION("""COMPUTED_VALUE"""),"Pediatric Surgery")</f>
        <v>Pediatric Surgery</v>
      </c>
      <c r="B74" s="9" t="str">
        <f ca="1">IFERROR(__xludf.DUMMYFUNCTION("""COMPUTED_VALUE"""),"PDSU")</f>
        <v>PDSU</v>
      </c>
      <c r="C74" s="3" t="str">
        <f ca="1">IFERROR(__xludf.DUMMYFUNCTION("GOOGLETRANSLATE($A74,""en"",""de"")"),"Kinderchirurgie")</f>
        <v>Kinderchirurgie</v>
      </c>
      <c r="D74" s="3" t="str">
        <f ca="1">IFERROR(__xludf.DUMMYFUNCTION("GOOGLETRANSLATE($A74,""en"",""fr"")"),"Chirurgie pédiatrique")</f>
        <v>Chirurgie pédiatrique</v>
      </c>
      <c r="E74" s="3" t="str">
        <f ca="1">IFERROR(__xludf.DUMMYFUNCTION("GOOGLETRANSLATE($A74,""en"",""es"")"),"Cirugía Pediátrica")</f>
        <v>Cirugía Pediátrica</v>
      </c>
      <c r="F74" s="3" t="str">
        <f ca="1">IFERROR(__xludf.DUMMYFUNCTION("GOOGLETRANSLATE($A74,""en"",""it"")"),"Chirurgia Pediatrica")</f>
        <v>Chirurgia Pediatrica</v>
      </c>
      <c r="G74" s="3" t="str">
        <f ca="1">IFERROR(__xludf.DUMMYFUNCTION("GOOGLETRANSLATE($A74,""en"",""zh-cn"")"),"小儿外科")</f>
        <v>小儿外科</v>
      </c>
      <c r="H74" s="3" t="str">
        <f ca="1">IFERROR(__xludf.DUMMYFUNCTION("GOOGLETRANSLATE($A74,""en"",""ja"")"),"小児外科")</f>
        <v>小児外科</v>
      </c>
      <c r="I74" s="3" t="str">
        <f ca="1">IFERROR(__xludf.DUMMYFUNCTION("GOOGLETRANSLATE($A74,""en"",""ko"")"),"소아외과")</f>
        <v>소아외과</v>
      </c>
      <c r="J74" s="3" t="str">
        <f ca="1">IFERROR(__xludf.DUMMYFUNCTION("GOOGLETRANSLATE($A74,""en"",""pt-BR"")"),"Cirurgia pediátrica")</f>
        <v>Cirurgia pediátrica</v>
      </c>
    </row>
    <row r="75" spans="1:10" ht="13" x14ac:dyDescent="0.15">
      <c r="A75" s="9" t="str">
        <f ca="1">IFERROR(__xludf.DUMMYFUNCTION("""COMPUTED_VALUE"""),"Pediatrics")</f>
        <v>Pediatrics</v>
      </c>
      <c r="B75" s="9" t="str">
        <f ca="1">IFERROR(__xludf.DUMMYFUNCTION("""COMPUTED_VALUE"""),"PD")</f>
        <v>PD</v>
      </c>
      <c r="C75" s="3" t="str">
        <f ca="1">IFERROR(__xludf.DUMMYFUNCTION("GOOGLETRANSLATE($A75,""en"",""de"")"),"Pädiatrie")</f>
        <v>Pädiatrie</v>
      </c>
      <c r="D75" s="3" t="str">
        <f ca="1">IFERROR(__xludf.DUMMYFUNCTION("GOOGLETRANSLATE($A75,""en"",""fr"")"),"Pédiatrie")</f>
        <v>Pédiatrie</v>
      </c>
      <c r="E75" s="3" t="str">
        <f ca="1">IFERROR(__xludf.DUMMYFUNCTION("GOOGLETRANSLATE($A75,""en"",""es"")"),"Pediatría")</f>
        <v>Pediatría</v>
      </c>
      <c r="F75" s="3" t="str">
        <f ca="1">IFERROR(__xludf.DUMMYFUNCTION("GOOGLETRANSLATE($A75,""en"",""it"")"),"Pediatria")</f>
        <v>Pediatria</v>
      </c>
      <c r="G75" s="3" t="str">
        <f ca="1">IFERROR(__xludf.DUMMYFUNCTION("GOOGLETRANSLATE($A75,""en"",""zh-cn"")"),"儿科")</f>
        <v>儿科</v>
      </c>
      <c r="H75" s="3" t="str">
        <f ca="1">IFERROR(__xludf.DUMMYFUNCTION("GOOGLETRANSLATE($A75,""en"",""ja"")"),"小児科")</f>
        <v>小児科</v>
      </c>
      <c r="I75" s="3" t="str">
        <f ca="1">IFERROR(__xludf.DUMMYFUNCTION("GOOGLETRANSLATE($A75,""en"",""ko"")"),"소아과")</f>
        <v>소아과</v>
      </c>
      <c r="J75" s="3" t="str">
        <f ca="1">IFERROR(__xludf.DUMMYFUNCTION("GOOGLETRANSLATE($A75,""en"",""pt-BR"")"),"Pediatria")</f>
        <v>Pediatria</v>
      </c>
    </row>
    <row r="76" spans="1:10" ht="13" x14ac:dyDescent="0.15">
      <c r="A76" s="9" t="str">
        <f ca="1">IFERROR(__xludf.DUMMYFUNCTION("""COMPUTED_VALUE"""),"Perinatology")</f>
        <v>Perinatology</v>
      </c>
      <c r="B76" s="9" t="str">
        <f ca="1">IFERROR(__xludf.DUMMYFUNCTION("""COMPUTED_VALUE"""),"GYPI")</f>
        <v>GYPI</v>
      </c>
      <c r="C76" s="3" t="str">
        <f ca="1">IFERROR(__xludf.DUMMYFUNCTION("GOOGLETRANSLATE($A76,""en"",""de"")"),"Perinatologie")</f>
        <v>Perinatologie</v>
      </c>
      <c r="D76" s="3" t="str">
        <f ca="1">IFERROR(__xludf.DUMMYFUNCTION("GOOGLETRANSLATE($A76,""en"",""fr"")"),"Périnatalogie")</f>
        <v>Périnatalogie</v>
      </c>
      <c r="E76" s="3" t="str">
        <f ca="1">IFERROR(__xludf.DUMMYFUNCTION("GOOGLETRANSLATE($A76,""en"",""es"")"),"Perinatología")</f>
        <v>Perinatología</v>
      </c>
      <c r="F76" s="3" t="str">
        <f ca="1">IFERROR(__xludf.DUMMYFUNCTION("GOOGLETRANSLATE($A76,""en"",""it"")"),"Perinatologia")</f>
        <v>Perinatologia</v>
      </c>
      <c r="G76" s="3" t="str">
        <f ca="1">IFERROR(__xludf.DUMMYFUNCTION("GOOGLETRANSLATE($A76,""en"",""zh-cn"")"),"围产期学")</f>
        <v>围产期学</v>
      </c>
      <c r="H76" s="3" t="str">
        <f ca="1">IFERROR(__xludf.DUMMYFUNCTION("GOOGLETRANSLATE($A76,""en"",""ja"")"),"周産期学")</f>
        <v>周産期学</v>
      </c>
      <c r="I76" s="3" t="str">
        <f ca="1">IFERROR(__xludf.DUMMYFUNCTION("GOOGLETRANSLATE($A76,""en"",""ko"")"),"주산기학")</f>
        <v>주산기학</v>
      </c>
      <c r="J76" s="3" t="str">
        <f ca="1">IFERROR(__xludf.DUMMYFUNCTION("GOOGLETRANSLATE($A76,""en"",""pt-BR"")"),"Perinatologia")</f>
        <v>Perinatologia</v>
      </c>
    </row>
    <row r="77" spans="1:10" ht="13" x14ac:dyDescent="0.15">
      <c r="A77" s="9" t="str">
        <f ca="1">IFERROR(__xludf.DUMMYFUNCTION("""COMPUTED_VALUE"""),"Pharmacology")</f>
        <v>Pharmacology</v>
      </c>
      <c r="B77" s="9" t="str">
        <f ca="1">IFERROR(__xludf.DUMMYFUNCTION("""COMPUTED_VALUE"""),"PH")</f>
        <v>PH</v>
      </c>
      <c r="C77" s="3" t="str">
        <f ca="1">IFERROR(__xludf.DUMMYFUNCTION("GOOGLETRANSLATE($A77,""en"",""de"")"),"Pharmakologie")</f>
        <v>Pharmakologie</v>
      </c>
      <c r="D77" s="3" t="str">
        <f ca="1">IFERROR(__xludf.DUMMYFUNCTION("GOOGLETRANSLATE($A77,""en"",""fr"")"),"Pharmacologie")</f>
        <v>Pharmacologie</v>
      </c>
      <c r="E77" s="3" t="str">
        <f ca="1">IFERROR(__xludf.DUMMYFUNCTION("GOOGLETRANSLATE($A77,""en"",""es"")"),"Farmacología")</f>
        <v>Farmacología</v>
      </c>
      <c r="F77" s="3" t="str">
        <f ca="1">IFERROR(__xludf.DUMMYFUNCTION("GOOGLETRANSLATE($A77,""en"",""it"")"),"Farmacologia")</f>
        <v>Farmacologia</v>
      </c>
      <c r="G77" s="3" t="str">
        <f ca="1">IFERROR(__xludf.DUMMYFUNCTION("GOOGLETRANSLATE($A77,""en"",""zh-cn"")"),"药理")</f>
        <v>药理</v>
      </c>
      <c r="H77" s="3" t="str">
        <f ca="1">IFERROR(__xludf.DUMMYFUNCTION("GOOGLETRANSLATE($A77,""en"",""ja"")"),"薬理学")</f>
        <v>薬理学</v>
      </c>
      <c r="I77" s="3" t="str">
        <f ca="1">IFERROR(__xludf.DUMMYFUNCTION("GOOGLETRANSLATE($A77,""en"",""ko"")"),"약리학")</f>
        <v>약리학</v>
      </c>
      <c r="J77" s="3" t="str">
        <f ca="1">IFERROR(__xludf.DUMMYFUNCTION("GOOGLETRANSLATE($A77,""en"",""pt-BR"")"),"Farmacologia")</f>
        <v>Farmacologia</v>
      </c>
    </row>
    <row r="78" spans="1:10" ht="13" x14ac:dyDescent="0.15">
      <c r="A78" s="9" t="str">
        <f ca="1">IFERROR(__xludf.DUMMYFUNCTION("""COMPUTED_VALUE"""),"Pharmacy Specialty")</f>
        <v>Pharmacy Specialty</v>
      </c>
      <c r="B78" s="9" t="str">
        <f ca="1">IFERROR(__xludf.DUMMYFUNCTION("""COMPUTED_VALUE"""),"PC")</f>
        <v>PC</v>
      </c>
      <c r="C78" s="3" t="str">
        <f ca="1">IFERROR(__xludf.DUMMYFUNCTION("GOOGLETRANSLATE($A78,""en"",""de"")"),"Spezialgebiet der Apotheke")</f>
        <v>Spezialgebiet der Apotheke</v>
      </c>
      <c r="D78" s="3" t="str">
        <f ca="1">IFERROR(__xludf.DUMMYFUNCTION("GOOGLETRANSLATE($A78,""en"",""fr"")"),"Spécialité Pharmacie")</f>
        <v>Spécialité Pharmacie</v>
      </c>
      <c r="E78" s="3" t="str">
        <f ca="1">IFERROR(__xludf.DUMMYFUNCTION("GOOGLETRANSLATE($A78,""en"",""es"")"),"Especialidad de Farmacia")</f>
        <v>Especialidad de Farmacia</v>
      </c>
      <c r="F78" s="3" t="str">
        <f ca="1">IFERROR(__xludf.DUMMYFUNCTION("GOOGLETRANSLATE($A78,""en"",""it"")"),"Specialità della farmacia")</f>
        <v>Specialità della farmacia</v>
      </c>
      <c r="G78" s="3" t="str">
        <f ca="1">IFERROR(__xludf.DUMMYFUNCTION("GOOGLETRANSLATE($A78,""en"",""zh-cn"")"),"药学专业")</f>
        <v>药学专业</v>
      </c>
      <c r="H78" s="3" t="str">
        <f ca="1">IFERROR(__xludf.DUMMYFUNCTION("GOOGLETRANSLATE($A78,""en"",""ja"")"),"薬局専門")</f>
        <v>薬局専門</v>
      </c>
      <c r="I78" s="3" t="str">
        <f ca="1">IFERROR(__xludf.DUMMYFUNCTION("GOOGLETRANSLATE($A78,""en"",""ko"")"),"약국 전문")</f>
        <v>약국 전문</v>
      </c>
      <c r="J78" s="3" t="str">
        <f ca="1">IFERROR(__xludf.DUMMYFUNCTION("GOOGLETRANSLATE($A78,""en"",""pt-BR"")"),"Especialidade em Farmácia")</f>
        <v>Especialidade em Farmácia</v>
      </c>
    </row>
    <row r="79" spans="1:10" ht="13" x14ac:dyDescent="0.15">
      <c r="A79" s="9" t="str">
        <f ca="1">IFERROR(__xludf.DUMMYFUNCTION("""COMPUTED_VALUE"""),"Physical Therapy")</f>
        <v>Physical Therapy</v>
      </c>
      <c r="B79" s="9" t="str">
        <f ca="1">IFERROR(__xludf.DUMMYFUNCTION("""COMPUTED_VALUE"""),"RMPS")</f>
        <v>RMPS</v>
      </c>
      <c r="C79" s="3" t="str">
        <f ca="1">IFERROR(__xludf.DUMMYFUNCTION("GOOGLETRANSLATE($A79,""en"",""de"")"),"Physiotherapie")</f>
        <v>Physiotherapie</v>
      </c>
      <c r="D79" s="3" t="str">
        <f ca="1">IFERROR(__xludf.DUMMYFUNCTION("GOOGLETRANSLATE($A79,""en"",""fr"")"),"Thérapie physique")</f>
        <v>Thérapie physique</v>
      </c>
      <c r="E79" s="3" t="str">
        <f ca="1">IFERROR(__xludf.DUMMYFUNCTION("GOOGLETRANSLATE($A79,""en"",""es"")"),"Terapia física")</f>
        <v>Terapia física</v>
      </c>
      <c r="F79" s="3" t="str">
        <f ca="1">IFERROR(__xludf.DUMMYFUNCTION("GOOGLETRANSLATE($A79,""en"",""it"")"),"Fisioterapia")</f>
        <v>Fisioterapia</v>
      </c>
      <c r="G79" s="3" t="str">
        <f ca="1">IFERROR(__xludf.DUMMYFUNCTION("GOOGLETRANSLATE($A79,""en"",""zh-cn"")"),"物理疗法")</f>
        <v>物理疗法</v>
      </c>
      <c r="H79" s="3" t="str">
        <f ca="1">IFERROR(__xludf.DUMMYFUNCTION("GOOGLETRANSLATE($A79,""en"",""ja"")"),"理学療法")</f>
        <v>理学療法</v>
      </c>
      <c r="I79" s="3" t="str">
        <f ca="1">IFERROR(__xludf.DUMMYFUNCTION("GOOGLETRANSLATE($A79,""en"",""ko"")"),"물리치료")</f>
        <v>물리치료</v>
      </c>
      <c r="J79" s="3" t="str">
        <f ca="1">IFERROR(__xludf.DUMMYFUNCTION("GOOGLETRANSLATE($A79,""en"",""pt-BR"")"),"Fisioterapia")</f>
        <v>Fisioterapia</v>
      </c>
    </row>
    <row r="80" spans="1:10" ht="13" x14ac:dyDescent="0.15">
      <c r="A80" s="9" t="str">
        <f ca="1">IFERROR(__xludf.DUMMYFUNCTION("""COMPUTED_VALUE"""),"Plastic Surgery")</f>
        <v>Plastic Surgery</v>
      </c>
      <c r="B80" s="9" t="str">
        <f ca="1">IFERROR(__xludf.DUMMYFUNCTION("""COMPUTED_VALUE"""),"SUPL")</f>
        <v>SUPL</v>
      </c>
      <c r="C80" s="3" t="str">
        <f ca="1">IFERROR(__xludf.DUMMYFUNCTION("GOOGLETRANSLATE($A80,""en"",""de"")"),"Plastische Chirurgie")</f>
        <v>Plastische Chirurgie</v>
      </c>
      <c r="D80" s="3" t="str">
        <f ca="1">IFERROR(__xludf.DUMMYFUNCTION("GOOGLETRANSLATE($A80,""en"",""fr"")"),"Chirurgie plastique")</f>
        <v>Chirurgie plastique</v>
      </c>
      <c r="E80" s="3" t="str">
        <f ca="1">IFERROR(__xludf.DUMMYFUNCTION("GOOGLETRANSLATE($A80,""en"",""es"")"),"Cirugía plástica")</f>
        <v>Cirugía plástica</v>
      </c>
      <c r="F80" s="3" t="str">
        <f ca="1">IFERROR(__xludf.DUMMYFUNCTION("GOOGLETRANSLATE($A80,""en"",""it"")"),"Chirurgia plastica")</f>
        <v>Chirurgia plastica</v>
      </c>
      <c r="G80" s="3" t="str">
        <f ca="1">IFERROR(__xludf.DUMMYFUNCTION("GOOGLETRANSLATE($A80,""en"",""zh-cn"")"),"整形外科")</f>
        <v>整形外科</v>
      </c>
      <c r="H80" s="3" t="str">
        <f ca="1">IFERROR(__xludf.DUMMYFUNCTION("GOOGLETRANSLATE($A80,""en"",""ja"")"),"形成外科")</f>
        <v>形成外科</v>
      </c>
      <c r="I80" s="3" t="str">
        <f ca="1">IFERROR(__xludf.DUMMYFUNCTION("GOOGLETRANSLATE($A80,""en"",""ko"")"),"성형수술")</f>
        <v>성형수술</v>
      </c>
      <c r="J80" s="3" t="str">
        <f ca="1">IFERROR(__xludf.DUMMYFUNCTION("GOOGLETRANSLATE($A80,""en"",""pt-BR"")"),"Cirurgia plástica")</f>
        <v>Cirurgia plástica</v>
      </c>
    </row>
    <row r="81" spans="1:10" ht="13" x14ac:dyDescent="0.15">
      <c r="A81" s="9" t="str">
        <f ca="1">IFERROR(__xludf.DUMMYFUNCTION("""COMPUTED_VALUE"""),"Podiatry")</f>
        <v>Podiatry</v>
      </c>
      <c r="B81" s="9" t="str">
        <f ca="1">IFERROR(__xludf.DUMMYFUNCTION("""COMPUTED_VALUE"""),"SUPO")</f>
        <v>SUPO</v>
      </c>
      <c r="C81" s="3" t="str">
        <f ca="1">IFERROR(__xludf.DUMMYFUNCTION("GOOGLETRANSLATE($A81,""en"",""de"")"),"Podologie")</f>
        <v>Podologie</v>
      </c>
      <c r="D81" s="3" t="str">
        <f ca="1">IFERROR(__xludf.DUMMYFUNCTION("GOOGLETRANSLATE($A81,""en"",""fr"")"),"Podologie")</f>
        <v>Podologie</v>
      </c>
      <c r="E81" s="3" t="str">
        <f ca="1">IFERROR(__xludf.DUMMYFUNCTION("GOOGLETRANSLATE($A81,""en"",""es"")"),"Podología")</f>
        <v>Podología</v>
      </c>
      <c r="F81" s="3" t="str">
        <f ca="1">IFERROR(__xludf.DUMMYFUNCTION("GOOGLETRANSLATE($A81,""en"",""it"")"),"Podologia")</f>
        <v>Podologia</v>
      </c>
      <c r="G81" s="3" t="str">
        <f ca="1">IFERROR(__xludf.DUMMYFUNCTION("GOOGLETRANSLATE($A81,""en"",""zh-cn"")"),"足病学")</f>
        <v>足病学</v>
      </c>
      <c r="H81" s="3" t="str">
        <f ca="1">IFERROR(__xludf.DUMMYFUNCTION("GOOGLETRANSLATE($A81,""en"",""ja"")"),"足病学")</f>
        <v>足病学</v>
      </c>
      <c r="I81" s="3" t="str">
        <f ca="1">IFERROR(__xludf.DUMMYFUNCTION("GOOGLETRANSLATE($A81,""en"",""ko"")"),"족병학")</f>
        <v>족병학</v>
      </c>
      <c r="J81" s="3" t="str">
        <f ca="1">IFERROR(__xludf.DUMMYFUNCTION("GOOGLETRANSLATE($A81,""en"",""pt-BR"")"),"Podologia")</f>
        <v>Podologia</v>
      </c>
    </row>
    <row r="82" spans="1:10" ht="13" x14ac:dyDescent="0.15">
      <c r="A82" s="9" t="str">
        <f ca="1">IFERROR(__xludf.DUMMYFUNCTION("""COMPUTED_VALUE"""),"Preventive Medicine")</f>
        <v>Preventive Medicine</v>
      </c>
      <c r="B82" s="9" t="str">
        <f ca="1">IFERROR(__xludf.DUMMYFUNCTION("""COMPUTED_VALUE"""),"PM")</f>
        <v>PM</v>
      </c>
      <c r="C82" s="3" t="str">
        <f ca="1">IFERROR(__xludf.DUMMYFUNCTION("GOOGLETRANSLATE($A82,""en"",""de"")"),"Präventivmedizin")</f>
        <v>Präventivmedizin</v>
      </c>
      <c r="D82" s="3" t="str">
        <f ca="1">IFERROR(__xludf.DUMMYFUNCTION("GOOGLETRANSLATE($A82,""en"",""fr"")"),"Médecine préventive")</f>
        <v>Médecine préventive</v>
      </c>
      <c r="E82" s="3" t="str">
        <f ca="1">IFERROR(__xludf.DUMMYFUNCTION("GOOGLETRANSLATE($A82,""en"",""es"")"),"Medicina Preventiva")</f>
        <v>Medicina Preventiva</v>
      </c>
      <c r="F82" s="3" t="str">
        <f ca="1">IFERROR(__xludf.DUMMYFUNCTION("GOOGLETRANSLATE($A82,""en"",""it"")"),"Medicina preventiva")</f>
        <v>Medicina preventiva</v>
      </c>
      <c r="G82" s="3" t="str">
        <f ca="1">IFERROR(__xludf.DUMMYFUNCTION("GOOGLETRANSLATE($A82,""en"",""zh-cn"")"),"预防医学")</f>
        <v>预防医学</v>
      </c>
      <c r="H82" s="3" t="str">
        <f ca="1">IFERROR(__xludf.DUMMYFUNCTION("GOOGLETRANSLATE($A82,""en"",""ja"")"),"予防医学")</f>
        <v>予防医学</v>
      </c>
      <c r="I82" s="3" t="str">
        <f ca="1">IFERROR(__xludf.DUMMYFUNCTION("GOOGLETRANSLATE($A82,""en"",""ko"")"),"예방 약품")</f>
        <v>예방 약품</v>
      </c>
      <c r="J82" s="3" t="str">
        <f ca="1">IFERROR(__xludf.DUMMYFUNCTION("GOOGLETRANSLATE($A82,""en"",""pt-BR"")"),"Medicina preventiva")</f>
        <v>Medicina preventiva</v>
      </c>
    </row>
    <row r="83" spans="1:10" ht="13" x14ac:dyDescent="0.15">
      <c r="A83" s="9" t="str">
        <f ca="1">IFERROR(__xludf.DUMMYFUNCTION("""COMPUTED_VALUE"""),"Psychiatry")</f>
        <v>Psychiatry</v>
      </c>
      <c r="B83" s="9" t="str">
        <f ca="1">IFERROR(__xludf.DUMMYFUNCTION("""COMPUTED_VALUE"""),"PY")</f>
        <v>PY</v>
      </c>
      <c r="C83" s="3" t="str">
        <f ca="1">IFERROR(__xludf.DUMMYFUNCTION("GOOGLETRANSLATE($A83,""en"",""de"")"),"Psychiatrie")</f>
        <v>Psychiatrie</v>
      </c>
      <c r="D83" s="3" t="str">
        <f ca="1">IFERROR(__xludf.DUMMYFUNCTION("GOOGLETRANSLATE($A83,""en"",""fr"")"),"Psychiatrie")</f>
        <v>Psychiatrie</v>
      </c>
      <c r="E83" s="3" t="str">
        <f ca="1">IFERROR(__xludf.DUMMYFUNCTION("GOOGLETRANSLATE($A83,""en"",""es"")"),"Psiquiatría")</f>
        <v>Psiquiatría</v>
      </c>
      <c r="F83" s="3" t="str">
        <f ca="1">IFERROR(__xludf.DUMMYFUNCTION("GOOGLETRANSLATE($A83,""en"",""it"")"),"Psichiatria")</f>
        <v>Psichiatria</v>
      </c>
      <c r="G83" s="3" t="str">
        <f ca="1">IFERROR(__xludf.DUMMYFUNCTION("GOOGLETRANSLATE($A83,""en"",""zh-cn"")"),"精神病学")</f>
        <v>精神病学</v>
      </c>
      <c r="H83" s="3" t="str">
        <f ca="1">IFERROR(__xludf.DUMMYFUNCTION("GOOGLETRANSLATE($A83,""en"",""ja"")"),"精神科")</f>
        <v>精神科</v>
      </c>
      <c r="I83" s="3" t="str">
        <f ca="1">IFERROR(__xludf.DUMMYFUNCTION("GOOGLETRANSLATE($A83,""en"",""ko"")"),"정신과")</f>
        <v>정신과</v>
      </c>
      <c r="J83" s="3" t="str">
        <f ca="1">IFERROR(__xludf.DUMMYFUNCTION("GOOGLETRANSLATE($A83,""en"",""pt-BR"")"),"Psiquiatria")</f>
        <v>Psiquiatria</v>
      </c>
    </row>
    <row r="84" spans="1:10" ht="13" x14ac:dyDescent="0.15">
      <c r="A84" s="9" t="str">
        <f ca="1">IFERROR(__xludf.DUMMYFUNCTION("""COMPUTED_VALUE"""),"Psychology")</f>
        <v>Psychology</v>
      </c>
      <c r="B84" s="9" t="str">
        <f ca="1">IFERROR(__xludf.DUMMYFUNCTION("""COMPUTED_VALUE"""),"PYPG")</f>
        <v>PYPG</v>
      </c>
      <c r="C84" s="3" t="str">
        <f ca="1">IFERROR(__xludf.DUMMYFUNCTION("GOOGLETRANSLATE($A84,""en"",""de"")"),"Psychologie")</f>
        <v>Psychologie</v>
      </c>
      <c r="D84" s="3" t="str">
        <f ca="1">IFERROR(__xludf.DUMMYFUNCTION("GOOGLETRANSLATE($A84,""en"",""fr"")"),"Psychologie")</f>
        <v>Psychologie</v>
      </c>
      <c r="E84" s="3" t="str">
        <f ca="1">IFERROR(__xludf.DUMMYFUNCTION("GOOGLETRANSLATE($A84,""en"",""es"")"),"Psicología")</f>
        <v>Psicología</v>
      </c>
      <c r="F84" s="3" t="str">
        <f ca="1">IFERROR(__xludf.DUMMYFUNCTION("GOOGLETRANSLATE($A84,""en"",""it"")"),"Psicologia")</f>
        <v>Psicologia</v>
      </c>
      <c r="G84" s="3" t="str">
        <f ca="1">IFERROR(__xludf.DUMMYFUNCTION("GOOGLETRANSLATE($A84,""en"",""zh-cn"")"),"心理学")</f>
        <v>心理学</v>
      </c>
      <c r="H84" s="3" t="str">
        <f ca="1">IFERROR(__xludf.DUMMYFUNCTION("GOOGLETRANSLATE($A84,""en"",""ja"")"),"心理学")</f>
        <v>心理学</v>
      </c>
      <c r="I84" s="3" t="str">
        <f ca="1">IFERROR(__xludf.DUMMYFUNCTION("GOOGLETRANSLATE($A84,""en"",""ko"")"),"심리학")</f>
        <v>심리학</v>
      </c>
      <c r="J84" s="3" t="str">
        <f ca="1">IFERROR(__xludf.DUMMYFUNCTION("GOOGLETRANSLATE($A84,""en"",""pt-BR"")"),"Psicologia")</f>
        <v>Psicologia</v>
      </c>
    </row>
    <row r="85" spans="1:10" ht="13" x14ac:dyDescent="0.15">
      <c r="A85" s="9" t="str">
        <f ca="1">IFERROR(__xludf.DUMMYFUNCTION("""COMPUTED_VALUE"""),"Psychosomatic Medicine")</f>
        <v>Psychosomatic Medicine</v>
      </c>
      <c r="B85" s="9" t="str">
        <f ca="1">IFERROR(__xludf.DUMMYFUNCTION("""COMPUTED_VALUE"""),"PYPM")</f>
        <v>PYPM</v>
      </c>
      <c r="C85" s="3" t="str">
        <f ca="1">IFERROR(__xludf.DUMMYFUNCTION("GOOGLETRANSLATE($A85,""en"",""de"")"),"Psychosomatik")</f>
        <v>Psychosomatik</v>
      </c>
      <c r="D85" s="3" t="str">
        <f ca="1">IFERROR(__xludf.DUMMYFUNCTION("GOOGLETRANSLATE($A85,""en"",""fr"")"),"Médecine psychosomatique")</f>
        <v>Médecine psychosomatique</v>
      </c>
      <c r="E85" s="3" t="str">
        <f ca="1">IFERROR(__xludf.DUMMYFUNCTION("GOOGLETRANSLATE($A85,""en"",""es"")"),"Medicina Psicosomática")</f>
        <v>Medicina Psicosomática</v>
      </c>
      <c r="F85" s="3" t="str">
        <f ca="1">IFERROR(__xludf.DUMMYFUNCTION("GOOGLETRANSLATE($A85,""en"",""it"")"),"Medicina Psicosomatica")</f>
        <v>Medicina Psicosomatica</v>
      </c>
      <c r="G85" s="3" t="str">
        <f ca="1">IFERROR(__xludf.DUMMYFUNCTION("GOOGLETRANSLATE($A85,""en"",""zh-cn"")"),"心身医学")</f>
        <v>心身医学</v>
      </c>
      <c r="H85" s="3" t="str">
        <f ca="1">IFERROR(__xludf.DUMMYFUNCTION("GOOGLETRANSLATE($A85,""en"",""ja"")"),"心療内科")</f>
        <v>心療内科</v>
      </c>
      <c r="I85" s="3" t="str">
        <f ca="1">IFERROR(__xludf.DUMMYFUNCTION("GOOGLETRANSLATE($A85,""en"",""ko"")"),"심신의학")</f>
        <v>심신의학</v>
      </c>
      <c r="J85" s="3" t="str">
        <f ca="1">IFERROR(__xludf.DUMMYFUNCTION("GOOGLETRANSLATE($A85,""en"",""pt-BR"")"),"Medicina Psicossomática")</f>
        <v>Medicina Psicossomática</v>
      </c>
    </row>
    <row r="86" spans="1:10" ht="13" x14ac:dyDescent="0.15">
      <c r="A86" s="9" t="str">
        <f ca="1">IFERROR(__xludf.DUMMYFUNCTION("""COMPUTED_VALUE"""),"Public Health")</f>
        <v>Public Health</v>
      </c>
      <c r="B86" s="9" t="str">
        <f ca="1">IFERROR(__xludf.DUMMYFUNCTION("""COMPUTED_VALUE"""),"PMPH")</f>
        <v>PMPH</v>
      </c>
      <c r="C86" s="3" t="str">
        <f ca="1">IFERROR(__xludf.DUMMYFUNCTION("GOOGLETRANSLATE($A86,""en"",""de"")"),"Gesundheitswesen")</f>
        <v>Gesundheitswesen</v>
      </c>
      <c r="D86" s="3" t="str">
        <f ca="1">IFERROR(__xludf.DUMMYFUNCTION("GOOGLETRANSLATE($A86,""en"",""fr"")"),"Santé publique")</f>
        <v>Santé publique</v>
      </c>
      <c r="E86" s="3" t="str">
        <f ca="1">IFERROR(__xludf.DUMMYFUNCTION("GOOGLETRANSLATE($A86,""en"",""es"")"),"Salud pública")</f>
        <v>Salud pública</v>
      </c>
      <c r="F86" s="3" t="str">
        <f ca="1">IFERROR(__xludf.DUMMYFUNCTION("GOOGLETRANSLATE($A86,""en"",""it"")"),"Salute pubblica")</f>
        <v>Salute pubblica</v>
      </c>
      <c r="G86" s="3" t="str">
        <f ca="1">IFERROR(__xludf.DUMMYFUNCTION("GOOGLETRANSLATE($A86,""en"",""zh-cn"")"),"公共卫生")</f>
        <v>公共卫生</v>
      </c>
      <c r="H86" s="3" t="str">
        <f ca="1">IFERROR(__xludf.DUMMYFUNCTION("GOOGLETRANSLATE($A86,""en"",""ja"")"),"公衆衛生")</f>
        <v>公衆衛生</v>
      </c>
      <c r="I86" s="3" t="str">
        <f ca="1">IFERROR(__xludf.DUMMYFUNCTION("GOOGLETRANSLATE($A86,""en"",""ko"")"),"공중 위생")</f>
        <v>공중 위생</v>
      </c>
      <c r="J86" s="3" t="str">
        <f ca="1">IFERROR(__xludf.DUMMYFUNCTION("GOOGLETRANSLATE($A86,""en"",""pt-BR"")"),"Saúde pública")</f>
        <v>Saúde pública</v>
      </c>
    </row>
    <row r="87" spans="1:10" ht="13" x14ac:dyDescent="0.15">
      <c r="A87" s="9" t="str">
        <f ca="1">IFERROR(__xludf.DUMMYFUNCTION("""COMPUTED_VALUE"""),"Pulmonology")</f>
        <v>Pulmonology</v>
      </c>
      <c r="B87" s="9" t="str">
        <f ca="1">IFERROR(__xludf.DUMMYFUNCTION("""COMPUTED_VALUE"""),"PL")</f>
        <v>PL</v>
      </c>
      <c r="C87" s="3" t="str">
        <f ca="1">IFERROR(__xludf.DUMMYFUNCTION("GOOGLETRANSLATE($A87,""en"",""de"")"),"Pulmologie")</f>
        <v>Pulmologie</v>
      </c>
      <c r="D87" s="3" t="str">
        <f ca="1">IFERROR(__xludf.DUMMYFUNCTION("GOOGLETRANSLATE($A87,""en"",""fr"")"),"Pneumologie")</f>
        <v>Pneumologie</v>
      </c>
      <c r="E87" s="3" t="str">
        <f ca="1">IFERROR(__xludf.DUMMYFUNCTION("GOOGLETRANSLATE($A87,""en"",""es"")"),"Neumología")</f>
        <v>Neumología</v>
      </c>
      <c r="F87" s="3" t="str">
        <f ca="1">IFERROR(__xludf.DUMMYFUNCTION("GOOGLETRANSLATE($A87,""en"",""it"")"),"Pneumologia")</f>
        <v>Pneumologia</v>
      </c>
      <c r="G87" s="3" t="str">
        <f ca="1">IFERROR(__xludf.DUMMYFUNCTION("GOOGLETRANSLATE($A87,""en"",""zh-cn"")"),"肺科")</f>
        <v>肺科</v>
      </c>
      <c r="H87" s="3" t="str">
        <f ca="1">IFERROR(__xludf.DUMMYFUNCTION("GOOGLETRANSLATE($A87,""en"",""ja"")"),"呼吸器科")</f>
        <v>呼吸器科</v>
      </c>
      <c r="I87" s="3" t="str">
        <f ca="1">IFERROR(__xludf.DUMMYFUNCTION("GOOGLETRANSLATE($A87,""en"",""ko"")"),"호흡기내과")</f>
        <v>호흡기내과</v>
      </c>
      <c r="J87" s="3" t="str">
        <f ca="1">IFERROR(__xludf.DUMMYFUNCTION("GOOGLETRANSLATE($A87,""en"",""pt-BR"")"),"Pneumologia")</f>
        <v>Pneumologia</v>
      </c>
    </row>
    <row r="88" spans="1:10" ht="13" x14ac:dyDescent="0.15">
      <c r="A88" s="9" t="str">
        <f ca="1">IFERROR(__xludf.DUMMYFUNCTION("""COMPUTED_VALUE"""),"Radiation Oncology")</f>
        <v>Radiation Oncology</v>
      </c>
      <c r="B88" s="9" t="str">
        <f ca="1">IFERROR(__xludf.DUMMYFUNCTION("""COMPUTED_VALUE"""),"RYON")</f>
        <v>RYON</v>
      </c>
      <c r="C88" s="3" t="str">
        <f ca="1">IFERROR(__xludf.DUMMYFUNCTION("GOOGLETRANSLATE($A88,""en"",""de"")"),"Radioonkologie")</f>
        <v>Radioonkologie</v>
      </c>
      <c r="D88" s="3" t="str">
        <f ca="1">IFERROR(__xludf.DUMMYFUNCTION("GOOGLETRANSLATE($A88,""en"",""fr"")"),"Radio-oncologie")</f>
        <v>Radio-oncologie</v>
      </c>
      <c r="E88" s="3" t="str">
        <f ca="1">IFERROR(__xludf.DUMMYFUNCTION("GOOGLETRANSLATE($A88,""en"",""es"")"),"Oncología Radioterápica")</f>
        <v>Oncología Radioterápica</v>
      </c>
      <c r="F88" s="3" t="str">
        <f ca="1">IFERROR(__xludf.DUMMYFUNCTION("GOOGLETRANSLATE($A88,""en"",""it"")"),"Oncologia delle radiazioni")</f>
        <v>Oncologia delle radiazioni</v>
      </c>
      <c r="G88" s="3" t="str">
        <f ca="1">IFERROR(__xludf.DUMMYFUNCTION("GOOGLETRANSLATE($A88,""en"",""zh-cn"")"),"放射肿瘤学")</f>
        <v>放射肿瘤学</v>
      </c>
      <c r="H88" s="3" t="str">
        <f ca="1">IFERROR(__xludf.DUMMYFUNCTION("GOOGLETRANSLATE($A88,""en"",""ja"")"),"放射線腫瘍学")</f>
        <v>放射線腫瘍学</v>
      </c>
      <c r="I88" s="3" t="str">
        <f ca="1">IFERROR(__xludf.DUMMYFUNCTION("GOOGLETRANSLATE($A88,""en"",""ko"")"),"방사선종양학")</f>
        <v>방사선종양학</v>
      </c>
      <c r="J88" s="3" t="str">
        <f ca="1">IFERROR(__xludf.DUMMYFUNCTION("GOOGLETRANSLATE($A88,""en"",""pt-BR"")"),"Oncologia de Radiação")</f>
        <v>Oncologia de Radiação</v>
      </c>
    </row>
    <row r="89" spans="1:10" ht="13" x14ac:dyDescent="0.15">
      <c r="A89" s="9" t="str">
        <f ca="1">IFERROR(__xludf.DUMMYFUNCTION("""COMPUTED_VALUE"""),"Radiology")</f>
        <v>Radiology</v>
      </c>
      <c r="B89" s="9" t="str">
        <f ca="1">IFERROR(__xludf.DUMMYFUNCTION("""COMPUTED_VALUE"""),"RY")</f>
        <v>RY</v>
      </c>
      <c r="C89" s="3" t="str">
        <f ca="1">IFERROR(__xludf.DUMMYFUNCTION("GOOGLETRANSLATE($A89,""en"",""de"")"),"Radiologie")</f>
        <v>Radiologie</v>
      </c>
      <c r="D89" s="3" t="str">
        <f ca="1">IFERROR(__xludf.DUMMYFUNCTION("GOOGLETRANSLATE($A89,""en"",""fr"")"),"Radiologie")</f>
        <v>Radiologie</v>
      </c>
      <c r="E89" s="3" t="str">
        <f ca="1">IFERROR(__xludf.DUMMYFUNCTION("GOOGLETRANSLATE($A89,""en"",""es"")"),"Radiología")</f>
        <v>Radiología</v>
      </c>
      <c r="F89" s="3" t="str">
        <f ca="1">IFERROR(__xludf.DUMMYFUNCTION("GOOGLETRANSLATE($A89,""en"",""it"")"),"Radiologia")</f>
        <v>Radiologia</v>
      </c>
      <c r="G89" s="3" t="str">
        <f ca="1">IFERROR(__xludf.DUMMYFUNCTION("GOOGLETRANSLATE($A89,""en"",""zh-cn"")"),"放射科")</f>
        <v>放射科</v>
      </c>
      <c r="H89" s="3" t="str">
        <f ca="1">IFERROR(__xludf.DUMMYFUNCTION("GOOGLETRANSLATE($A89,""en"",""ja"")"),"放射線科")</f>
        <v>放射線科</v>
      </c>
      <c r="I89" s="3" t="str">
        <f ca="1">IFERROR(__xludf.DUMMYFUNCTION("GOOGLETRANSLATE($A89,""en"",""ko"")"),"방사선과")</f>
        <v>방사선과</v>
      </c>
      <c r="J89" s="3" t="str">
        <f ca="1">IFERROR(__xludf.DUMMYFUNCTION("GOOGLETRANSLATE($A89,""en"",""pt-BR"")"),"Radiologia")</f>
        <v>Radiologia</v>
      </c>
    </row>
    <row r="90" spans="1:10" ht="13" x14ac:dyDescent="0.15">
      <c r="A90" s="9" t="str">
        <f ca="1">IFERROR(__xludf.DUMMYFUNCTION("""COMPUTED_VALUE"""),"Rehabilitation Medicine")</f>
        <v>Rehabilitation Medicine</v>
      </c>
      <c r="B90" s="9" t="str">
        <f ca="1">IFERROR(__xludf.DUMMYFUNCTION("""COMPUTED_VALUE"""),"RM")</f>
        <v>RM</v>
      </c>
      <c r="C90" s="3" t="str">
        <f ca="1">IFERROR(__xludf.DUMMYFUNCTION("GOOGLETRANSLATE($A90,""en"",""de"")"),"Rehabilitationsmedizin")</f>
        <v>Rehabilitationsmedizin</v>
      </c>
      <c r="D90" s="3" t="str">
        <f ca="1">IFERROR(__xludf.DUMMYFUNCTION("GOOGLETRANSLATE($A90,""en"",""fr"")"),"Médecine de réadaptation")</f>
        <v>Médecine de réadaptation</v>
      </c>
      <c r="E90" s="3" t="str">
        <f ca="1">IFERROR(__xludf.DUMMYFUNCTION("GOOGLETRANSLATE($A90,""en"",""es"")"),"Medicina de rehabilitación")</f>
        <v>Medicina de rehabilitación</v>
      </c>
      <c r="F90" s="3" t="str">
        <f ca="1">IFERROR(__xludf.DUMMYFUNCTION("GOOGLETRANSLATE($A90,""en"",""it"")"),"Medicina riabilitativa")</f>
        <v>Medicina riabilitativa</v>
      </c>
      <c r="G90" s="3" t="str">
        <f ca="1">IFERROR(__xludf.DUMMYFUNCTION("GOOGLETRANSLATE($A90,""en"",""zh-cn"")"),"康复医学")</f>
        <v>康复医学</v>
      </c>
      <c r="H90" s="3" t="str">
        <f ca="1">IFERROR(__xludf.DUMMYFUNCTION("GOOGLETRANSLATE($A90,""en"",""ja"")"),"リハビリテーション医学")</f>
        <v>リハビリテーション医学</v>
      </c>
      <c r="I90" s="3" t="str">
        <f ca="1">IFERROR(__xludf.DUMMYFUNCTION("GOOGLETRANSLATE($A90,""en"",""ko"")"),"재활의학")</f>
        <v>재활의학</v>
      </c>
      <c r="J90" s="3" t="str">
        <f ca="1">IFERROR(__xludf.DUMMYFUNCTION("GOOGLETRANSLATE($A90,""en"",""pt-BR"")"),"Medicina de Reabilitação")</f>
        <v>Medicina de Reabilitação</v>
      </c>
    </row>
    <row r="91" spans="1:10" ht="13" x14ac:dyDescent="0.15">
      <c r="A91" s="9" t="str">
        <f ca="1">IFERROR(__xludf.DUMMYFUNCTION("""COMPUTED_VALUE"""),"Reproductive Medicine")</f>
        <v>Reproductive Medicine</v>
      </c>
      <c r="B91" s="9" t="str">
        <f ca="1">IFERROR(__xludf.DUMMYFUNCTION("""COMPUTED_VALUE"""),"RP")</f>
        <v>RP</v>
      </c>
      <c r="C91" s="3" t="str">
        <f ca="1">IFERROR(__xludf.DUMMYFUNCTION("GOOGLETRANSLATE($A91,""en"",""de"")"),"Reproduktionsmedizin")</f>
        <v>Reproduktionsmedizin</v>
      </c>
      <c r="D91" s="3" t="str">
        <f ca="1">IFERROR(__xludf.DUMMYFUNCTION("GOOGLETRANSLATE($A91,""en"",""fr"")"),"Médecine reproductive")</f>
        <v>Médecine reproductive</v>
      </c>
      <c r="E91" s="3" t="str">
        <f ca="1">IFERROR(__xludf.DUMMYFUNCTION("GOOGLETRANSLATE($A91,""en"",""es"")"),"Medicina Reproductiva")</f>
        <v>Medicina Reproductiva</v>
      </c>
      <c r="F91" s="3" t="str">
        <f ca="1">IFERROR(__xludf.DUMMYFUNCTION("GOOGLETRANSLATE($A91,""en"",""it"")"),"Medicina riproduttiva")</f>
        <v>Medicina riproduttiva</v>
      </c>
      <c r="G91" s="3" t="str">
        <f ca="1">IFERROR(__xludf.DUMMYFUNCTION("GOOGLETRANSLATE($A91,""en"",""zh-cn"")"),"生殖医学")</f>
        <v>生殖医学</v>
      </c>
      <c r="H91" s="3" t="str">
        <f ca="1">IFERROR(__xludf.DUMMYFUNCTION("GOOGLETRANSLATE($A91,""en"",""ja"")"),"生殖医療")</f>
        <v>生殖医療</v>
      </c>
      <c r="I91" s="3" t="str">
        <f ca="1">IFERROR(__xludf.DUMMYFUNCTION("GOOGLETRANSLATE($A91,""en"",""ko"")"),"생식의학")</f>
        <v>생식의학</v>
      </c>
      <c r="J91" s="3" t="str">
        <f ca="1">IFERROR(__xludf.DUMMYFUNCTION("GOOGLETRANSLATE($A91,""en"",""pt-BR"")"),"Medicina Reprodutiva")</f>
        <v>Medicina Reprodutiva</v>
      </c>
    </row>
    <row r="92" spans="1:10" ht="13" x14ac:dyDescent="0.15">
      <c r="A92" s="9" t="str">
        <f ca="1">IFERROR(__xludf.DUMMYFUNCTION("""COMPUTED_VALUE"""),"Research and Development")</f>
        <v>Research and Development</v>
      </c>
      <c r="B92" s="9" t="str">
        <f ca="1">IFERROR(__xludf.DUMMYFUNCTION("""COMPUTED_VALUE"""),"RD")</f>
        <v>RD</v>
      </c>
      <c r="C92" s="3" t="str">
        <f ca="1">IFERROR(__xludf.DUMMYFUNCTION("GOOGLETRANSLATE($A92,""en"",""de"")"),"Forschung und Entwicklung")</f>
        <v>Forschung und Entwicklung</v>
      </c>
      <c r="D92" s="3" t="str">
        <f ca="1">IFERROR(__xludf.DUMMYFUNCTION("GOOGLETRANSLATE($A92,""en"",""fr"")"),"Recherche et développement")</f>
        <v>Recherche et développement</v>
      </c>
      <c r="E92" s="3" t="str">
        <f ca="1">IFERROR(__xludf.DUMMYFUNCTION("GOOGLETRANSLATE($A92,""en"",""es"")"),"Investigación y desarrollo")</f>
        <v>Investigación y desarrollo</v>
      </c>
      <c r="F92" s="3" t="str">
        <f ca="1">IFERROR(__xludf.DUMMYFUNCTION("GOOGLETRANSLATE($A92,""en"",""it"")"),"Ricerca e sviluppo")</f>
        <v>Ricerca e sviluppo</v>
      </c>
      <c r="G92" s="3" t="str">
        <f ca="1">IFERROR(__xludf.DUMMYFUNCTION("GOOGLETRANSLATE($A92,""en"",""zh-cn"")"),"研究与开发")</f>
        <v>研究与开发</v>
      </c>
      <c r="H92" s="3" t="str">
        <f ca="1">IFERROR(__xludf.DUMMYFUNCTION("GOOGLETRANSLATE($A92,""en"",""ja"")"),"研究開発")</f>
        <v>研究開発</v>
      </c>
      <c r="I92" s="3" t="str">
        <f ca="1">IFERROR(__xludf.DUMMYFUNCTION("GOOGLETRANSLATE($A92,""en"",""ko"")"),"연구 및 개발")</f>
        <v>연구 및 개발</v>
      </c>
      <c r="J92" s="3" t="str">
        <f ca="1">IFERROR(__xludf.DUMMYFUNCTION("GOOGLETRANSLATE($A92,""en"",""pt-BR"")"),"Pesquisa e desenvolvimento")</f>
        <v>Pesquisa e desenvolvimento</v>
      </c>
    </row>
    <row r="93" spans="1:10" ht="13" x14ac:dyDescent="0.15">
      <c r="A93" s="9" t="str">
        <f ca="1">IFERROR(__xludf.DUMMYFUNCTION("""COMPUTED_VALUE"""),"Rheumatology")</f>
        <v>Rheumatology</v>
      </c>
      <c r="B93" s="9" t="str">
        <f ca="1">IFERROR(__xludf.DUMMYFUNCTION("""COMPUTED_VALUE"""),"RH")</f>
        <v>RH</v>
      </c>
      <c r="C93" s="3" t="str">
        <f ca="1">IFERROR(__xludf.DUMMYFUNCTION("GOOGLETRANSLATE($A93,""en"",""de"")"),"Rheumatologie")</f>
        <v>Rheumatologie</v>
      </c>
      <c r="D93" s="3" t="str">
        <f ca="1">IFERROR(__xludf.DUMMYFUNCTION("GOOGLETRANSLATE($A93,""en"",""fr"")"),"Rhumatologie")</f>
        <v>Rhumatologie</v>
      </c>
      <c r="E93" s="3" t="str">
        <f ca="1">IFERROR(__xludf.DUMMYFUNCTION("GOOGLETRANSLATE($A93,""en"",""es"")"),"Reumatología")</f>
        <v>Reumatología</v>
      </c>
      <c r="F93" s="3" t="str">
        <f ca="1">IFERROR(__xludf.DUMMYFUNCTION("GOOGLETRANSLATE($A93,""en"",""it"")"),"Reumatologia")</f>
        <v>Reumatologia</v>
      </c>
      <c r="G93" s="3" t="str">
        <f ca="1">IFERROR(__xludf.DUMMYFUNCTION("GOOGLETRANSLATE($A93,""en"",""zh-cn"")"),"风湿病学")</f>
        <v>风湿病学</v>
      </c>
      <c r="H93" s="3" t="str">
        <f ca="1">IFERROR(__xludf.DUMMYFUNCTION("GOOGLETRANSLATE($A93,""en"",""ja"")"),"リウマチ科")</f>
        <v>リウマチ科</v>
      </c>
      <c r="I93" s="3" t="str">
        <f ca="1">IFERROR(__xludf.DUMMYFUNCTION("GOOGLETRANSLATE($A93,""en"",""ko"")"),"류마티스학")</f>
        <v>류마티스학</v>
      </c>
      <c r="J93" s="3" t="str">
        <f ca="1">IFERROR(__xludf.DUMMYFUNCTION("GOOGLETRANSLATE($A93,""en"",""pt-BR"")"),"Reumatologia")</f>
        <v>Reumatologia</v>
      </c>
    </row>
    <row r="94" spans="1:10" ht="13" x14ac:dyDescent="0.15">
      <c r="A94" s="9" t="str">
        <f ca="1">IFERROR(__xludf.DUMMYFUNCTION("""COMPUTED_VALUE"""),"Sleep Medicine")</f>
        <v>Sleep Medicine</v>
      </c>
      <c r="B94" s="9" t="str">
        <f ca="1">IFERROR(__xludf.DUMMYFUNCTION("""COMPUTED_VALUE"""),"NYSM")</f>
        <v>NYSM</v>
      </c>
      <c r="C94" s="3" t="str">
        <f ca="1">IFERROR(__xludf.DUMMYFUNCTION("GOOGLETRANSLATE($A94,""en"",""de"")"),"Schlafmedizin")</f>
        <v>Schlafmedizin</v>
      </c>
      <c r="D94" s="3" t="str">
        <f ca="1">IFERROR(__xludf.DUMMYFUNCTION("GOOGLETRANSLATE($A94,""en"",""fr"")"),"Médecine du sommeil")</f>
        <v>Médecine du sommeil</v>
      </c>
      <c r="E94" s="3" t="str">
        <f ca="1">IFERROR(__xludf.DUMMYFUNCTION("GOOGLETRANSLATE($A94,""en"",""es"")"),"Medicina del sueño")</f>
        <v>Medicina del sueño</v>
      </c>
      <c r="F94" s="3" t="str">
        <f ca="1">IFERROR(__xludf.DUMMYFUNCTION("GOOGLETRANSLATE($A94,""en"",""it"")"),"Medicina del sonno")</f>
        <v>Medicina del sonno</v>
      </c>
      <c r="G94" s="3" t="str">
        <f ca="1">IFERROR(__xludf.DUMMYFUNCTION("GOOGLETRANSLATE($A94,""en"",""zh-cn"")"),"睡眠医学")</f>
        <v>睡眠医学</v>
      </c>
      <c r="H94" s="3" t="str">
        <f ca="1">IFERROR(__xludf.DUMMYFUNCTION("GOOGLETRANSLATE($A94,""en"",""ja"")"),"睡眠薬")</f>
        <v>睡眠薬</v>
      </c>
      <c r="I94" s="3" t="str">
        <f ca="1">IFERROR(__xludf.DUMMYFUNCTION("GOOGLETRANSLATE($A94,""en"",""ko"")"),"수면의학")</f>
        <v>수면의학</v>
      </c>
      <c r="J94" s="3" t="str">
        <f ca="1">IFERROR(__xludf.DUMMYFUNCTION("GOOGLETRANSLATE($A94,""en"",""pt-BR"")"),"Medicina do Sono")</f>
        <v>Medicina do Sono</v>
      </c>
    </row>
    <row r="95" spans="1:10" ht="13" x14ac:dyDescent="0.15">
      <c r="A95" s="9" t="str">
        <f ca="1">IFERROR(__xludf.DUMMYFUNCTION("""COMPUTED_VALUE"""),"Spinal Cord Injury Medicine")</f>
        <v>Spinal Cord Injury Medicine</v>
      </c>
      <c r="B95" s="9" t="str">
        <f ca="1">IFERROR(__xludf.DUMMYFUNCTION("""COMPUTED_VALUE"""),"RMSC")</f>
        <v>RMSC</v>
      </c>
      <c r="C95" s="3" t="str">
        <f ca="1">IFERROR(__xludf.DUMMYFUNCTION("GOOGLETRANSLATE($A95,""en"",""de"")"),"Medizin bei Rückenmarksverletzungen")</f>
        <v>Medizin bei Rückenmarksverletzungen</v>
      </c>
      <c r="D95" s="3" t="str">
        <f ca="1">IFERROR(__xludf.DUMMYFUNCTION("GOOGLETRANSLATE($A95,""en"",""fr"")"),"Médecine des lésions de la moelle épinière")</f>
        <v>Médecine des lésions de la moelle épinière</v>
      </c>
      <c r="E95" s="3" t="str">
        <f ca="1">IFERROR(__xludf.DUMMYFUNCTION("GOOGLETRANSLATE($A95,""en"",""es"")"),"Medicina para lesiones de la médula espinal")</f>
        <v>Medicina para lesiones de la médula espinal</v>
      </c>
      <c r="F95" s="3" t="str">
        <f ca="1">IFERROR(__xludf.DUMMYFUNCTION("GOOGLETRANSLATE($A95,""en"",""it"")"),"Medicina delle lesioni del midollo spinale")</f>
        <v>Medicina delle lesioni del midollo spinale</v>
      </c>
      <c r="G95" s="3" t="str">
        <f ca="1">IFERROR(__xludf.DUMMYFUNCTION("GOOGLETRANSLATE($A95,""en"",""zh-cn"")"),"脊髓损伤医学")</f>
        <v>脊髓损伤医学</v>
      </c>
      <c r="H95" s="3" t="str">
        <f ca="1">IFERROR(__xludf.DUMMYFUNCTION("GOOGLETRANSLATE($A95,""en"",""ja"")"),"脊髄損傷の医学")</f>
        <v>脊髄損傷の医学</v>
      </c>
      <c r="I95" s="3" t="str">
        <f ca="1">IFERROR(__xludf.DUMMYFUNCTION("GOOGLETRANSLATE($A95,""en"",""ko"")"),"척수손상 의학")</f>
        <v>척수손상 의학</v>
      </c>
      <c r="J95" s="3" t="str">
        <f ca="1">IFERROR(__xludf.DUMMYFUNCTION("GOOGLETRANSLATE($A95,""en"",""pt-BR"")"),"Medicina para lesões da medula espinhal")</f>
        <v>Medicina para lesões da medula espinhal</v>
      </c>
    </row>
    <row r="96" spans="1:10" ht="13" x14ac:dyDescent="0.15">
      <c r="A96" s="9" t="str">
        <f ca="1">IFERROR(__xludf.DUMMYFUNCTION("""COMPUTED_VALUE"""),"Sports Medicine")</f>
        <v>Sports Medicine</v>
      </c>
      <c r="B96" s="9" t="str">
        <f ca="1">IFERROR(__xludf.DUMMYFUNCTION("""COMPUTED_VALUE"""),"SUSP")</f>
        <v>SUSP</v>
      </c>
      <c r="C96" s="3" t="str">
        <f ca="1">IFERROR(__xludf.DUMMYFUNCTION("GOOGLETRANSLATE($A96,""en"",""de"")"),"Sportmedizin")</f>
        <v>Sportmedizin</v>
      </c>
      <c r="D96" s="3" t="str">
        <f ca="1">IFERROR(__xludf.DUMMYFUNCTION("GOOGLETRANSLATE($A96,""en"",""fr"")"),"Médecine du sport")</f>
        <v>Médecine du sport</v>
      </c>
      <c r="E96" s="3" t="str">
        <f ca="1">IFERROR(__xludf.DUMMYFUNCTION("GOOGLETRANSLATE($A96,""en"",""es"")"),"Medicina deportiva")</f>
        <v>Medicina deportiva</v>
      </c>
      <c r="F96" s="3" t="str">
        <f ca="1">IFERROR(__xludf.DUMMYFUNCTION("GOOGLETRANSLATE($A96,""en"",""it"")"),"Medicina sportiva")</f>
        <v>Medicina sportiva</v>
      </c>
      <c r="G96" s="3" t="str">
        <f ca="1">IFERROR(__xludf.DUMMYFUNCTION("GOOGLETRANSLATE($A96,""en"",""zh-cn"")"),"运动药物")</f>
        <v>运动药物</v>
      </c>
      <c r="H96" s="3" t="str">
        <f ca="1">IFERROR(__xludf.DUMMYFUNCTION("GOOGLETRANSLATE($A96,""en"",""ja"")"),"スポーツ医学")</f>
        <v>スポーツ医学</v>
      </c>
      <c r="I96" s="3" t="str">
        <f ca="1">IFERROR(__xludf.DUMMYFUNCTION("GOOGLETRANSLATE($A96,""en"",""ko"")"),"스포츠 의학")</f>
        <v>스포츠 의학</v>
      </c>
      <c r="J96" s="3" t="str">
        <f ca="1">IFERROR(__xludf.DUMMYFUNCTION("GOOGLETRANSLATE($A96,""en"",""pt-BR"")"),"Medicina Desportiva")</f>
        <v>Medicina Desportiva</v>
      </c>
    </row>
    <row r="97" spans="1:10" ht="13" x14ac:dyDescent="0.15">
      <c r="A97" s="9" t="str">
        <f ca="1">IFERROR(__xludf.DUMMYFUNCTION("""COMPUTED_VALUE"""),"Surgery")</f>
        <v>Surgery</v>
      </c>
      <c r="B97" s="9" t="str">
        <f ca="1">IFERROR(__xludf.DUMMYFUNCTION("""COMPUTED_VALUE"""),"SU")</f>
        <v>SU</v>
      </c>
      <c r="C97" s="3" t="str">
        <f ca="1">IFERROR(__xludf.DUMMYFUNCTION("GOOGLETRANSLATE($A97,""en"",""de"")"),"Operation")</f>
        <v>Operation</v>
      </c>
      <c r="D97" s="3" t="str">
        <f ca="1">IFERROR(__xludf.DUMMYFUNCTION("GOOGLETRANSLATE($A97,""en"",""fr"")"),"Chirurgie")</f>
        <v>Chirurgie</v>
      </c>
      <c r="E97" s="3" t="str">
        <f ca="1">IFERROR(__xludf.DUMMYFUNCTION("GOOGLETRANSLATE($A97,""en"",""es"")"),"Cirugía")</f>
        <v>Cirugía</v>
      </c>
      <c r="F97" s="3" t="str">
        <f ca="1">IFERROR(__xludf.DUMMYFUNCTION("GOOGLETRANSLATE($A97,""en"",""it"")"),"Chirurgia")</f>
        <v>Chirurgia</v>
      </c>
      <c r="G97" s="3" t="str">
        <f ca="1">IFERROR(__xludf.DUMMYFUNCTION("GOOGLETRANSLATE($A97,""en"",""zh-cn"")"),"外科手术")</f>
        <v>外科手术</v>
      </c>
      <c r="H97" s="3" t="str">
        <f ca="1">IFERROR(__xludf.DUMMYFUNCTION("GOOGLETRANSLATE($A97,""en"",""ja"")"),"手術")</f>
        <v>手術</v>
      </c>
      <c r="I97" s="3" t="str">
        <f ca="1">IFERROR(__xludf.DUMMYFUNCTION("GOOGLETRANSLATE($A97,""en"",""ko"")"),"수술")</f>
        <v>수술</v>
      </c>
      <c r="J97" s="3" t="str">
        <f ca="1">IFERROR(__xludf.DUMMYFUNCTION("GOOGLETRANSLATE($A97,""en"",""pt-BR"")"),"Cirurgia")</f>
        <v>Cirurgia</v>
      </c>
    </row>
    <row r="98" spans="1:10" ht="13" x14ac:dyDescent="0.15">
      <c r="A98" s="9" t="str">
        <f ca="1">IFERROR(__xludf.DUMMYFUNCTION("""COMPUTED_VALUE"""),"Surgical Oncology")</f>
        <v>Surgical Oncology</v>
      </c>
      <c r="B98" s="9" t="str">
        <f ca="1">IFERROR(__xludf.DUMMYFUNCTION("""COMPUTED_VALUE"""),"SUON")</f>
        <v>SUON</v>
      </c>
      <c r="C98" s="3" t="str">
        <f ca="1">IFERROR(__xludf.DUMMYFUNCTION("GOOGLETRANSLATE($A98,""en"",""de"")"),"Chirurgische Onkologie")</f>
        <v>Chirurgische Onkologie</v>
      </c>
      <c r="D98" s="3" t="str">
        <f ca="1">IFERROR(__xludf.DUMMYFUNCTION("GOOGLETRANSLATE($A98,""en"",""fr"")"),"Oncologie chirurgicale")</f>
        <v>Oncologie chirurgicale</v>
      </c>
      <c r="E98" s="3" t="str">
        <f ca="1">IFERROR(__xludf.DUMMYFUNCTION("GOOGLETRANSLATE($A98,""en"",""es"")"),"Oncología Quirúrgica")</f>
        <v>Oncología Quirúrgica</v>
      </c>
      <c r="F98" s="3" t="str">
        <f ca="1">IFERROR(__xludf.DUMMYFUNCTION("GOOGLETRANSLATE($A98,""en"",""it"")"),"Oncologia chirurgica")</f>
        <v>Oncologia chirurgica</v>
      </c>
      <c r="G98" s="3" t="str">
        <f ca="1">IFERROR(__xludf.DUMMYFUNCTION("GOOGLETRANSLATE($A98,""en"",""zh-cn"")"),"肿瘤外科")</f>
        <v>肿瘤外科</v>
      </c>
      <c r="H98" s="3" t="str">
        <f ca="1">IFERROR(__xludf.DUMMYFUNCTION("GOOGLETRANSLATE($A98,""en"",""ja"")"),"腫瘍外科")</f>
        <v>腫瘍外科</v>
      </c>
      <c r="I98" s="3" t="str">
        <f ca="1">IFERROR(__xludf.DUMMYFUNCTION("GOOGLETRANSLATE($A98,""en"",""ko"")"),"외과 종양학")</f>
        <v>외과 종양학</v>
      </c>
      <c r="J98" s="3" t="str">
        <f ca="1">IFERROR(__xludf.DUMMYFUNCTION("GOOGLETRANSLATE($A98,""en"",""pt-BR"")"),"Oncologia Cirúrgica")</f>
        <v>Oncologia Cirúrgica</v>
      </c>
    </row>
    <row r="99" spans="1:10" ht="13" x14ac:dyDescent="0.15">
      <c r="A99" s="9" t="str">
        <f ca="1">IFERROR(__xludf.DUMMYFUNCTION("""COMPUTED_VALUE"""),"Tropical Medicine")</f>
        <v>Tropical Medicine</v>
      </c>
      <c r="B99" s="9" t="str">
        <f ca="1">IFERROR(__xludf.DUMMYFUNCTION("""COMPUTED_VALUE"""),"IDTM")</f>
        <v>IDTM</v>
      </c>
      <c r="C99" s="3" t="str">
        <f ca="1">IFERROR(__xludf.DUMMYFUNCTION("GOOGLETRANSLATE($A99,""en"",""de"")"),"Tropische Medizin")</f>
        <v>Tropische Medizin</v>
      </c>
      <c r="D99" s="3" t="str">
        <f ca="1">IFERROR(__xludf.DUMMYFUNCTION("GOOGLETRANSLATE($A99,""en"",""fr"")"),"Médecine tropicale")</f>
        <v>Médecine tropicale</v>
      </c>
      <c r="E99" s="3" t="str">
        <f ca="1">IFERROR(__xludf.DUMMYFUNCTION("GOOGLETRANSLATE($A99,""en"",""es"")"),"Medicina Tropical")</f>
        <v>Medicina Tropical</v>
      </c>
      <c r="F99" s="3" t="str">
        <f ca="1">IFERROR(__xludf.DUMMYFUNCTION("GOOGLETRANSLATE($A99,""en"",""it"")"),"Medicina tropicale")</f>
        <v>Medicina tropicale</v>
      </c>
      <c r="G99" s="3" t="str">
        <f ca="1">IFERROR(__xludf.DUMMYFUNCTION("GOOGLETRANSLATE($A99,""en"",""zh-cn"")"),"热带医学")</f>
        <v>热带医学</v>
      </c>
      <c r="H99" s="3" t="str">
        <f ca="1">IFERROR(__xludf.DUMMYFUNCTION("GOOGLETRANSLATE($A99,""en"",""ja"")"),"熱帯医学")</f>
        <v>熱帯医学</v>
      </c>
      <c r="I99" s="3" t="str">
        <f ca="1">IFERROR(__xludf.DUMMYFUNCTION("GOOGLETRANSLATE($A99,""en"",""ko"")"),"열대의학")</f>
        <v>열대의학</v>
      </c>
      <c r="J99" s="3" t="str">
        <f ca="1">IFERROR(__xludf.DUMMYFUNCTION("GOOGLETRANSLATE($A99,""en"",""pt-BR"")"),"Remédio Tropical")</f>
        <v>Remédio Tropical</v>
      </c>
    </row>
    <row r="100" spans="1:10" ht="13" x14ac:dyDescent="0.15">
      <c r="A100" s="9" t="str">
        <f ca="1">IFERROR(__xludf.DUMMYFUNCTION("""COMPUTED_VALUE"""),"Urgent Care Medicine")</f>
        <v>Urgent Care Medicine</v>
      </c>
      <c r="B100" s="9" t="str">
        <f ca="1">IFERROR(__xludf.DUMMYFUNCTION("""COMPUTED_VALUE"""),"EMUC")</f>
        <v>EMUC</v>
      </c>
      <c r="C100" s="3" t="str">
        <f ca="1">IFERROR(__xludf.DUMMYFUNCTION("GOOGLETRANSLATE($A100,""en"",""de"")"),"Notfallmedizin")</f>
        <v>Notfallmedizin</v>
      </c>
      <c r="D100" s="3" t="str">
        <f ca="1">IFERROR(__xludf.DUMMYFUNCTION("GOOGLETRANSLATE($A100,""en"",""fr"")"),"Médecine de soins d'urgence")</f>
        <v>Médecine de soins d'urgence</v>
      </c>
      <c r="E100" s="3" t="str">
        <f ca="1">IFERROR(__xludf.DUMMYFUNCTION("GOOGLETRANSLATE($A100,""en"",""es"")"),"Medicina de atención de urgencia")</f>
        <v>Medicina de atención de urgencia</v>
      </c>
      <c r="F100" s="3" t="str">
        <f ca="1">IFERROR(__xludf.DUMMYFUNCTION("GOOGLETRANSLATE($A100,""en"",""it"")"),"Medicina d'urgenza")</f>
        <v>Medicina d'urgenza</v>
      </c>
      <c r="G100" s="3" t="str">
        <f ca="1">IFERROR(__xludf.DUMMYFUNCTION("GOOGLETRANSLATE($A100,""en"",""zh-cn"")"),"紧急护理医学")</f>
        <v>紧急护理医学</v>
      </c>
      <c r="H100" s="3" t="str">
        <f ca="1">IFERROR(__xludf.DUMMYFUNCTION("GOOGLETRANSLATE($A100,""en"",""ja"")"),"救急医療")</f>
        <v>救急医療</v>
      </c>
      <c r="I100" s="3" t="str">
        <f ca="1">IFERROR(__xludf.DUMMYFUNCTION("GOOGLETRANSLATE($A100,""en"",""ko"")"),"긴급치료의학")</f>
        <v>긴급치료의학</v>
      </c>
      <c r="J100" s="3" t="str">
        <f ca="1">IFERROR(__xludf.DUMMYFUNCTION("GOOGLETRANSLATE($A100,""en"",""pt-BR"")"),"Medicina de Urgência")</f>
        <v>Medicina de Urgência</v>
      </c>
    </row>
    <row r="101" spans="1:10" ht="13" x14ac:dyDescent="0.15">
      <c r="A101" s="9" t="str">
        <f ca="1">IFERROR(__xludf.DUMMYFUNCTION("""COMPUTED_VALUE"""),"Urology")</f>
        <v>Urology</v>
      </c>
      <c r="B101" s="9" t="str">
        <f ca="1">IFERROR(__xludf.DUMMYFUNCTION("""COMPUTED_VALUE"""),"UR")</f>
        <v>UR</v>
      </c>
      <c r="C101" s="3" t="str">
        <f ca="1">IFERROR(__xludf.DUMMYFUNCTION("GOOGLETRANSLATE($A101,""en"",""de"")"),"Urologie")</f>
        <v>Urologie</v>
      </c>
      <c r="D101" s="3" t="str">
        <f ca="1">IFERROR(__xludf.DUMMYFUNCTION("GOOGLETRANSLATE($A101,""en"",""fr"")"),"Urologie")</f>
        <v>Urologie</v>
      </c>
      <c r="E101" s="3" t="str">
        <f ca="1">IFERROR(__xludf.DUMMYFUNCTION("GOOGLETRANSLATE($A101,""en"",""es"")"),"Urología")</f>
        <v>Urología</v>
      </c>
      <c r="F101" s="3" t="str">
        <f ca="1">IFERROR(__xludf.DUMMYFUNCTION("GOOGLETRANSLATE($A101,""en"",""it"")"),"Urologia")</f>
        <v>Urologia</v>
      </c>
      <c r="G101" s="3" t="str">
        <f ca="1">IFERROR(__xludf.DUMMYFUNCTION("GOOGLETRANSLATE($A101,""en"",""zh-cn"")"),"泌尿科")</f>
        <v>泌尿科</v>
      </c>
      <c r="H101" s="3" t="str">
        <f ca="1">IFERROR(__xludf.DUMMYFUNCTION("GOOGLETRANSLATE($A101,""en"",""ja"")"),"泌尿器科")</f>
        <v>泌尿器科</v>
      </c>
      <c r="I101" s="3" t="str">
        <f ca="1">IFERROR(__xludf.DUMMYFUNCTION("GOOGLETRANSLATE($A101,""en"",""ko"")"),"비뇨기과")</f>
        <v>비뇨기과</v>
      </c>
      <c r="J101" s="3" t="str">
        <f ca="1">IFERROR(__xludf.DUMMYFUNCTION("GOOGLETRANSLATE($A101,""en"",""pt-BR"")"),"Urologia")</f>
        <v>Urologia</v>
      </c>
    </row>
    <row r="102" spans="1:10" ht="13" x14ac:dyDescent="0.15">
      <c r="A102" s="9" t="str">
        <f ca="1">IFERROR(__xludf.DUMMYFUNCTION("""COMPUTED_VALUE"""),"Vascular Surgery")</f>
        <v>Vascular Surgery</v>
      </c>
      <c r="B102" s="9" t="str">
        <f ca="1">IFERROR(__xludf.DUMMYFUNCTION("""COMPUTED_VALUE"""),"SUVS")</f>
        <v>SUVS</v>
      </c>
      <c r="C102" s="3" t="str">
        <f ca="1">IFERROR(__xludf.DUMMYFUNCTION("GOOGLETRANSLATE($A102,""en"",""de"")"),"Gefäßchirurgie")</f>
        <v>Gefäßchirurgie</v>
      </c>
      <c r="D102" s="3" t="str">
        <f ca="1">IFERROR(__xludf.DUMMYFUNCTION("GOOGLETRANSLATE($A102,""en"",""fr"")"),"Chirurgie vasculaire")</f>
        <v>Chirurgie vasculaire</v>
      </c>
      <c r="E102" s="3" t="str">
        <f ca="1">IFERROR(__xludf.DUMMYFUNCTION("GOOGLETRANSLATE($A102,""en"",""es"")"),"Cirugía vascular")</f>
        <v>Cirugía vascular</v>
      </c>
      <c r="F102" s="3" t="str">
        <f ca="1">IFERROR(__xludf.DUMMYFUNCTION("GOOGLETRANSLATE($A102,""en"",""it"")"),"Chirurgia vascolare")</f>
        <v>Chirurgia vascolare</v>
      </c>
      <c r="G102" s="3" t="str">
        <f ca="1">IFERROR(__xludf.DUMMYFUNCTION("GOOGLETRANSLATE($A102,""en"",""zh-cn"")"),"血管外科")</f>
        <v>血管外科</v>
      </c>
      <c r="H102" s="3" t="str">
        <f ca="1">IFERROR(__xludf.DUMMYFUNCTION("GOOGLETRANSLATE($A102,""en"",""ja"")"),"血管手術")</f>
        <v>血管手術</v>
      </c>
      <c r="I102" s="3" t="str">
        <f ca="1">IFERROR(__xludf.DUMMYFUNCTION("GOOGLETRANSLATE($A102,""en"",""ko"")"),"혈관외과")</f>
        <v>혈관외과</v>
      </c>
      <c r="J102" s="3" t="str">
        <f ca="1">IFERROR(__xludf.DUMMYFUNCTION("GOOGLETRANSLATE($A102,""en"",""pt-BR"")"),"Cirurgia vascular")</f>
        <v>Cirurgia vascular</v>
      </c>
    </row>
    <row r="103" spans="1:10" ht="13" x14ac:dyDescent="0.15">
      <c r="A103" s="9" t="str">
        <f ca="1">IFERROR(__xludf.DUMMYFUNCTION("""COMPUTED_VALUE"""),"Veterinary")</f>
        <v>Veterinary</v>
      </c>
      <c r="B103" s="9" t="str">
        <f ca="1">IFERROR(__xludf.DUMMYFUNCTION("""COMPUTED_VALUE"""),"VT")</f>
        <v>VT</v>
      </c>
      <c r="C103" s="3" t="str">
        <f ca="1">IFERROR(__xludf.DUMMYFUNCTION("GOOGLETRANSLATE($A103,""en"",""de"")"),"Veterinärmedizin")</f>
        <v>Veterinärmedizin</v>
      </c>
      <c r="D103" s="3" t="str">
        <f ca="1">IFERROR(__xludf.DUMMYFUNCTION("GOOGLETRANSLATE($A103,""en"",""fr"")"),"Vétérinaire")</f>
        <v>Vétérinaire</v>
      </c>
      <c r="E103" s="3" t="str">
        <f ca="1">IFERROR(__xludf.DUMMYFUNCTION("GOOGLETRANSLATE($A103,""en"",""es"")"),"Veterinario")</f>
        <v>Veterinario</v>
      </c>
      <c r="F103" s="3" t="str">
        <f ca="1">IFERROR(__xludf.DUMMYFUNCTION("GOOGLETRANSLATE($A103,""en"",""it"")"),"Veterinario")</f>
        <v>Veterinario</v>
      </c>
      <c r="G103" s="3" t="str">
        <f ca="1">IFERROR(__xludf.DUMMYFUNCTION("GOOGLETRANSLATE($A103,""en"",""zh-cn"")"),"兽医")</f>
        <v>兽医</v>
      </c>
      <c r="H103" s="3" t="str">
        <f ca="1">IFERROR(__xludf.DUMMYFUNCTION("GOOGLETRANSLATE($A103,""en"",""ja"")"),"獣医")</f>
        <v>獣医</v>
      </c>
      <c r="I103" s="3" t="str">
        <f ca="1">IFERROR(__xludf.DUMMYFUNCTION("GOOGLETRANSLATE($A103,""en"",""ko"")"),"수의사")</f>
        <v>수의사</v>
      </c>
      <c r="J103" s="3" t="str">
        <f ca="1">IFERROR(__xludf.DUMMYFUNCTION("GOOGLETRANSLATE($A103,""en"",""pt-BR"")"),"Veterinário")</f>
        <v>Veterinário</v>
      </c>
    </row>
    <row r="104" spans="1:10" ht="13" x14ac:dyDescent="0.15">
      <c r="A104" s="9"/>
      <c r="B104" s="9"/>
      <c r="C104" s="9"/>
    </row>
    <row r="105" spans="1:10" ht="13" x14ac:dyDescent="0.15">
      <c r="A105" s="9"/>
      <c r="B105" s="9"/>
      <c r="C105" s="9"/>
    </row>
    <row r="106" spans="1:10" ht="13" x14ac:dyDescent="0.15">
      <c r="A106" s="9"/>
      <c r="B106" s="9"/>
      <c r="C106" s="9"/>
    </row>
    <row r="107" spans="1:10" ht="13" x14ac:dyDescent="0.15">
      <c r="A107" s="9"/>
      <c r="B107" s="9"/>
      <c r="C107" s="9"/>
    </row>
    <row r="108" spans="1:10" ht="13" x14ac:dyDescent="0.15">
      <c r="A108" s="9"/>
      <c r="B108" s="9"/>
      <c r="C108" s="9"/>
    </row>
    <row r="109" spans="1:10" ht="13" x14ac:dyDescent="0.15">
      <c r="A109" s="9"/>
      <c r="B109" s="9"/>
      <c r="C109" s="9"/>
    </row>
    <row r="110" spans="1:10" ht="13" x14ac:dyDescent="0.15">
      <c r="A110" s="9"/>
      <c r="B110" s="9"/>
      <c r="C110" s="9"/>
    </row>
    <row r="111" spans="1:10" ht="13" x14ac:dyDescent="0.15">
      <c r="A111" s="9"/>
      <c r="B111" s="9"/>
      <c r="C111" s="9"/>
    </row>
    <row r="112" spans="1:10" ht="13" x14ac:dyDescent="0.15">
      <c r="A112" s="9"/>
      <c r="B112" s="9"/>
      <c r="C112" s="9"/>
    </row>
    <row r="113" spans="1:3" ht="13" x14ac:dyDescent="0.15">
      <c r="A113" s="9"/>
      <c r="B113" s="9"/>
      <c r="C113" s="9"/>
    </row>
    <row r="114" spans="1:3" ht="13" x14ac:dyDescent="0.15">
      <c r="A114" s="9"/>
      <c r="B114" s="9"/>
      <c r="C114" s="9"/>
    </row>
    <row r="115" spans="1:3" ht="13" x14ac:dyDescent="0.15">
      <c r="A115" s="9"/>
      <c r="B115" s="9"/>
      <c r="C115" s="9"/>
    </row>
    <row r="116" spans="1:3" ht="13" x14ac:dyDescent="0.15">
      <c r="A116" s="9"/>
      <c r="B116" s="9"/>
      <c r="C116" s="9"/>
    </row>
    <row r="117" spans="1:3" ht="13" x14ac:dyDescent="0.15">
      <c r="A117" s="9"/>
      <c r="B117" s="9"/>
      <c r="C117" s="9"/>
    </row>
    <row r="118" spans="1:3" ht="13" x14ac:dyDescent="0.15">
      <c r="A118" s="9"/>
      <c r="B118" s="9"/>
      <c r="C118" s="9"/>
    </row>
    <row r="119" spans="1:3" ht="13" x14ac:dyDescent="0.15">
      <c r="A119" s="9"/>
      <c r="B119" s="9"/>
      <c r="C119" s="9"/>
    </row>
    <row r="120" spans="1:3" ht="13" x14ac:dyDescent="0.15">
      <c r="A120" s="9"/>
      <c r="B120" s="9"/>
      <c r="C120" s="9"/>
    </row>
    <row r="121" spans="1:3" ht="13" x14ac:dyDescent="0.15">
      <c r="A121" s="9"/>
      <c r="B121" s="9"/>
      <c r="C121" s="9"/>
    </row>
    <row r="122" spans="1:3" ht="13" x14ac:dyDescent="0.15">
      <c r="A122" s="9"/>
      <c r="B122" s="9"/>
      <c r="C122" s="9"/>
    </row>
    <row r="123" spans="1:3" ht="13" x14ac:dyDescent="0.15">
      <c r="A123" s="9"/>
      <c r="B123" s="9"/>
      <c r="C123" s="9"/>
    </row>
    <row r="124" spans="1:3" ht="13" x14ac:dyDescent="0.15">
      <c r="A124" s="9"/>
      <c r="B124" s="9"/>
      <c r="C124" s="9"/>
    </row>
    <row r="125" spans="1:3" ht="13" x14ac:dyDescent="0.15">
      <c r="A125" s="9"/>
      <c r="B125" s="9"/>
      <c r="C125" s="9"/>
    </row>
    <row r="126" spans="1:3" ht="13" x14ac:dyDescent="0.15">
      <c r="A126" s="9"/>
      <c r="B126" s="9"/>
      <c r="C126" s="9"/>
    </row>
    <row r="127" spans="1:3" ht="13" x14ac:dyDescent="0.15">
      <c r="A127" s="9"/>
      <c r="B127" s="9"/>
      <c r="C127" s="9"/>
    </row>
    <row r="128" spans="1:3" ht="13" x14ac:dyDescent="0.15">
      <c r="A128" s="9"/>
      <c r="B128" s="9"/>
      <c r="C128" s="9"/>
    </row>
    <row r="129" spans="1:3" ht="13" x14ac:dyDescent="0.15">
      <c r="A129" s="9"/>
      <c r="B129" s="9"/>
      <c r="C129" s="9"/>
    </row>
    <row r="130" spans="1:3" ht="13" x14ac:dyDescent="0.15">
      <c r="A130" s="9"/>
      <c r="B130" s="9"/>
      <c r="C130" s="9"/>
    </row>
    <row r="131" spans="1:3" ht="13" x14ac:dyDescent="0.15">
      <c r="A131" s="9"/>
      <c r="B131" s="9"/>
      <c r="C131" s="9"/>
    </row>
    <row r="132" spans="1:3" ht="13" x14ac:dyDescent="0.15">
      <c r="A132" s="9"/>
      <c r="B132" s="9"/>
      <c r="C132" s="9"/>
    </row>
    <row r="133" spans="1:3" ht="13" x14ac:dyDescent="0.15">
      <c r="A133" s="9"/>
      <c r="B133" s="9"/>
      <c r="C133" s="9"/>
    </row>
    <row r="134" spans="1:3" ht="13" x14ac:dyDescent="0.15">
      <c r="A134" s="9"/>
      <c r="B134" s="9"/>
      <c r="C134" s="9"/>
    </row>
    <row r="135" spans="1:3" ht="13" x14ac:dyDescent="0.15">
      <c r="A135" s="9"/>
      <c r="B135" s="9"/>
      <c r="C135" s="9"/>
    </row>
    <row r="136" spans="1:3" ht="13" x14ac:dyDescent="0.15">
      <c r="A136" s="9"/>
      <c r="B136" s="9"/>
      <c r="C136" s="9"/>
    </row>
    <row r="137" spans="1:3" ht="13" x14ac:dyDescent="0.15">
      <c r="A137" s="9"/>
      <c r="B137" s="9"/>
      <c r="C137" s="9"/>
    </row>
    <row r="138" spans="1:3" ht="13" x14ac:dyDescent="0.15">
      <c r="A138" s="9"/>
      <c r="B138" s="9"/>
      <c r="C138" s="9"/>
    </row>
    <row r="139" spans="1:3" ht="13" x14ac:dyDescent="0.15">
      <c r="A139" s="9"/>
      <c r="B139" s="9"/>
      <c r="C139" s="9"/>
    </row>
    <row r="140" spans="1:3" ht="13" x14ac:dyDescent="0.15">
      <c r="A140" s="9"/>
      <c r="B140" s="9"/>
      <c r="C140" s="9"/>
    </row>
    <row r="141" spans="1:3" ht="13" x14ac:dyDescent="0.15">
      <c r="A141" s="9"/>
      <c r="B141" s="9"/>
      <c r="C141" s="9"/>
    </row>
    <row r="142" spans="1:3" ht="13" x14ac:dyDescent="0.15">
      <c r="A142" s="9"/>
      <c r="B142" s="9"/>
      <c r="C142" s="9"/>
    </row>
    <row r="143" spans="1:3" ht="13" x14ac:dyDescent="0.15">
      <c r="A143" s="9"/>
      <c r="B143" s="9"/>
      <c r="C143" s="9"/>
    </row>
    <row r="144" spans="1:3" ht="13" x14ac:dyDescent="0.15">
      <c r="A144" s="9"/>
      <c r="B144" s="9"/>
      <c r="C144" s="9"/>
    </row>
    <row r="145" spans="1:3" ht="13" x14ac:dyDescent="0.15">
      <c r="A145" s="9"/>
      <c r="B145" s="9"/>
      <c r="C145" s="9"/>
    </row>
    <row r="146" spans="1:3" ht="13" x14ac:dyDescent="0.15">
      <c r="A146" s="9"/>
      <c r="B146" s="9"/>
      <c r="C146" s="9"/>
    </row>
    <row r="147" spans="1:3" ht="13" x14ac:dyDescent="0.15">
      <c r="A147" s="9"/>
      <c r="B147" s="9"/>
      <c r="C147" s="9"/>
    </row>
    <row r="148" spans="1:3" ht="13" x14ac:dyDescent="0.15">
      <c r="A148" s="9"/>
      <c r="B148" s="9"/>
      <c r="C148" s="9"/>
    </row>
    <row r="149" spans="1:3" ht="13" x14ac:dyDescent="0.15">
      <c r="A149" s="9"/>
      <c r="B149" s="9"/>
      <c r="C149" s="9"/>
    </row>
    <row r="150" spans="1:3" ht="13" x14ac:dyDescent="0.15">
      <c r="A150" s="9"/>
      <c r="B150" s="9"/>
      <c r="C150" s="9"/>
    </row>
    <row r="151" spans="1:3" ht="13" x14ac:dyDescent="0.15">
      <c r="A151" s="9"/>
      <c r="B151" s="9"/>
      <c r="C151" s="9"/>
    </row>
    <row r="152" spans="1:3" ht="13" x14ac:dyDescent="0.15">
      <c r="A152" s="9"/>
      <c r="B152" s="9"/>
      <c r="C152" s="9"/>
    </row>
    <row r="153" spans="1:3" ht="13" x14ac:dyDescent="0.15">
      <c r="A153" s="9"/>
      <c r="B153" s="9"/>
      <c r="C153" s="9"/>
    </row>
    <row r="154" spans="1:3" ht="13" x14ac:dyDescent="0.15">
      <c r="A154" s="9"/>
      <c r="B154" s="9"/>
      <c r="C154" s="9"/>
    </row>
    <row r="155" spans="1:3" ht="13" x14ac:dyDescent="0.15">
      <c r="A155" s="9"/>
      <c r="B155" s="9"/>
      <c r="C155" s="9"/>
    </row>
    <row r="156" spans="1:3" ht="13" x14ac:dyDescent="0.15">
      <c r="A156" s="9"/>
      <c r="B156" s="9"/>
      <c r="C156" s="9"/>
    </row>
    <row r="157" spans="1:3" ht="13" x14ac:dyDescent="0.15">
      <c r="A157" s="9"/>
      <c r="B157" s="9"/>
      <c r="C157" s="9"/>
    </row>
    <row r="158" spans="1:3" ht="13" x14ac:dyDescent="0.15">
      <c r="A158" s="9"/>
      <c r="B158" s="9"/>
      <c r="C158" s="9"/>
    </row>
    <row r="159" spans="1:3" ht="13" x14ac:dyDescent="0.15">
      <c r="A159" s="9"/>
      <c r="B159" s="9"/>
      <c r="C159" s="9"/>
    </row>
    <row r="160" spans="1:3" ht="13" x14ac:dyDescent="0.15">
      <c r="A160" s="9"/>
      <c r="B160" s="9"/>
      <c r="C160" s="9"/>
    </row>
    <row r="161" spans="1:3" ht="13" x14ac:dyDescent="0.15">
      <c r="A161" s="9"/>
      <c r="B161" s="9"/>
      <c r="C161" s="9"/>
    </row>
    <row r="162" spans="1:3" ht="13" x14ac:dyDescent="0.15">
      <c r="A162" s="9"/>
      <c r="B162" s="9"/>
      <c r="C162" s="9"/>
    </row>
    <row r="163" spans="1:3" ht="13" x14ac:dyDescent="0.15">
      <c r="A163" s="9"/>
      <c r="B163" s="9"/>
      <c r="C163" s="9"/>
    </row>
    <row r="164" spans="1:3" ht="13" x14ac:dyDescent="0.15">
      <c r="A164" s="9"/>
      <c r="B164" s="9"/>
      <c r="C164" s="9"/>
    </row>
    <row r="165" spans="1:3" ht="13" x14ac:dyDescent="0.15">
      <c r="A165" s="9"/>
      <c r="B165" s="9"/>
      <c r="C165" s="9"/>
    </row>
    <row r="166" spans="1:3" ht="13" x14ac:dyDescent="0.15">
      <c r="A166" s="9"/>
      <c r="B166" s="9"/>
      <c r="C166" s="9"/>
    </row>
    <row r="167" spans="1:3" ht="13" x14ac:dyDescent="0.15">
      <c r="A167" s="9"/>
      <c r="B167" s="9"/>
      <c r="C167" s="9"/>
    </row>
    <row r="168" spans="1:3" ht="13" x14ac:dyDescent="0.15">
      <c r="A168" s="9"/>
      <c r="B168" s="9"/>
      <c r="C168" s="9"/>
    </row>
    <row r="169" spans="1:3" ht="13" x14ac:dyDescent="0.15">
      <c r="A169" s="9"/>
      <c r="B169" s="9"/>
      <c r="C169" s="9"/>
    </row>
    <row r="170" spans="1:3" ht="13" x14ac:dyDescent="0.15">
      <c r="A170" s="9"/>
      <c r="B170" s="9"/>
      <c r="C170" s="9"/>
    </row>
    <row r="171" spans="1:3" ht="13" x14ac:dyDescent="0.15">
      <c r="A171" s="9"/>
      <c r="B171" s="9"/>
      <c r="C171" s="9"/>
    </row>
    <row r="172" spans="1:3" ht="13" x14ac:dyDescent="0.15">
      <c r="A172" s="9"/>
      <c r="B172" s="9"/>
      <c r="C172" s="9"/>
    </row>
    <row r="173" spans="1:3" ht="13" x14ac:dyDescent="0.15">
      <c r="A173" s="9"/>
      <c r="B173" s="9"/>
      <c r="C173" s="9"/>
    </row>
    <row r="174" spans="1:3" ht="13" x14ac:dyDescent="0.15">
      <c r="A174" s="9"/>
      <c r="B174" s="9"/>
      <c r="C174" s="9"/>
    </row>
    <row r="175" spans="1:3" ht="13" x14ac:dyDescent="0.15">
      <c r="A175" s="9"/>
      <c r="B175" s="9"/>
      <c r="C175" s="9"/>
    </row>
    <row r="176" spans="1:3"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44"/>
  <sheetViews>
    <sheetView workbookViewId="0"/>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31</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IFERROR(__xludf.DUMMYFUNCTION("IMPORTRANGE(""https://docs.google.com/spreadsheets/d/1C7ebseLw3CypDIkJDJaWHHfWiV3njB56moaBb7gLWo8/edit#gid=0"",""Specialty Group Items!A4:A"")"),"Addiction Medicine")</f>
        <v>Addiction Medicine</v>
      </c>
      <c r="B4" s="3" t="str">
        <f ca="1">IFERROR(__xludf.DUMMYFUNCTION("IMPORTRANGE(""https://docs.google.com/spreadsheets/d/1C7ebseLw3CypDIkJDJaWHHfWiV3njB56moaBb7gLWo8/edit#gid=0"",""Specialty Group Items!B4:B"")"),"AM")</f>
        <v>AM</v>
      </c>
      <c r="C4" s="3" t="str">
        <f ca="1">IFERROR(__xludf.DUMMYFUNCTION("GOOGLETRANSLATE($A4,""en"",""de"")"),"Suchtmedizin")</f>
        <v>Suchtmedizin</v>
      </c>
      <c r="D4" s="3" t="str">
        <f ca="1">IFERROR(__xludf.DUMMYFUNCTION("GOOGLETRANSLATE($A4,""en"",""fr"")"),"Médecine de la toxicomanie")</f>
        <v>Médecine de la toxicomanie</v>
      </c>
      <c r="E4" s="3" t="str">
        <f ca="1">IFERROR(__xludf.DUMMYFUNCTION("GOOGLETRANSLATE($A4,""en"",""es"")"),"Medicina de adicción")</f>
        <v>Medicina de adicción</v>
      </c>
      <c r="F4" s="3" t="str">
        <f ca="1">IFERROR(__xludf.DUMMYFUNCTION("GOOGLETRANSLATE($A4,""en"",""it"")"),"Medicina delle dipendenze")</f>
        <v>Medicina delle dipendenze</v>
      </c>
      <c r="G4" s="3" t="str">
        <f ca="1">IFERROR(__xludf.DUMMYFUNCTION("GOOGLETRANSLATE($A4,""en"",""zh-cn"")"),"成瘾医学")</f>
        <v>成瘾医学</v>
      </c>
      <c r="H4" s="3" t="str">
        <f ca="1">IFERROR(__xludf.DUMMYFUNCTION("GOOGLETRANSLATE($A4,""en"",""ja"")"),"依存症の薬")</f>
        <v>依存症の薬</v>
      </c>
      <c r="I4" s="3" t="str">
        <f ca="1">IFERROR(__xludf.DUMMYFUNCTION("GOOGLETRANSLATE($A4,""en"",""ko"")"),"중독 의학")</f>
        <v>중독 의학</v>
      </c>
      <c r="J4" s="3" t="str">
        <f ca="1">IFERROR(__xludf.DUMMYFUNCTION("GOOGLETRANSLATE($A4,""en"",""pt-BR"")"),"Remédio para Dependência")</f>
        <v>Remédio para Dependência</v>
      </c>
    </row>
    <row r="5" spans="1:26" ht="15.75" customHeight="1" x14ac:dyDescent="0.15">
      <c r="A5" s="9" t="str">
        <f ca="1">IFERROR(__xludf.DUMMYFUNCTION("""COMPUTED_VALUE"""),"Administrative Medicine")</f>
        <v>Administrative Medicine</v>
      </c>
      <c r="B5" s="9" t="str">
        <f ca="1">IFERROR(__xludf.DUMMYFUNCTION("""COMPUTED_VALUE"""),"AD")</f>
        <v>AD</v>
      </c>
      <c r="C5" s="3" t="str">
        <f ca="1">IFERROR(__xludf.DUMMYFUNCTION("GOOGLETRANSLATE($A5,""en"",""de"")"),"Verwaltungsmedizin")</f>
        <v>Verwaltungsmedizin</v>
      </c>
      <c r="D5" s="3" t="str">
        <f ca="1">IFERROR(__xludf.DUMMYFUNCTION("GOOGLETRANSLATE($A5,""en"",""fr"")"),"Médecine administrative")</f>
        <v>Médecine administrative</v>
      </c>
      <c r="E5" s="3" t="str">
        <f ca="1">IFERROR(__xludf.DUMMYFUNCTION("GOOGLETRANSLATE($A5,""en"",""es"")"),"Medicina Administrativa")</f>
        <v>Medicina Administrativa</v>
      </c>
      <c r="F5" s="3" t="str">
        <f ca="1">IFERROR(__xludf.DUMMYFUNCTION("GOOGLETRANSLATE($A5,""en"",""it"")"),"Medicina Amministrativa")</f>
        <v>Medicina Amministrativa</v>
      </c>
      <c r="G5" s="3" t="str">
        <f ca="1">IFERROR(__xludf.DUMMYFUNCTION("GOOGLETRANSLATE($A5,""en"",""zh-cn"")"),"行政医学")</f>
        <v>行政医学</v>
      </c>
      <c r="H5" s="3" t="str">
        <f ca="1">IFERROR(__xludf.DUMMYFUNCTION("GOOGLETRANSLATE($A5,""en"",""ja"")"),"管理医学")</f>
        <v>管理医学</v>
      </c>
      <c r="I5" s="3" t="str">
        <f ca="1">IFERROR(__xludf.DUMMYFUNCTION("GOOGLETRANSLATE($A5,""en"",""ko"")"),"행정의학")</f>
        <v>행정의학</v>
      </c>
      <c r="J5" s="3" t="str">
        <f ca="1">IFERROR(__xludf.DUMMYFUNCTION("GOOGLETRANSLATE($A5,""en"",""pt-BR"")"),"Medicina Administrativa")</f>
        <v>Medicina Administrativa</v>
      </c>
    </row>
    <row r="6" spans="1:26" ht="15.75" customHeight="1" x14ac:dyDescent="0.15">
      <c r="A6" s="9" t="str">
        <f ca="1">IFERROR(__xludf.DUMMYFUNCTION("""COMPUTED_VALUE"""),"Alternative Medicine")</f>
        <v>Alternative Medicine</v>
      </c>
      <c r="B6" s="9" t="str">
        <f ca="1">IFERROR(__xludf.DUMMYFUNCTION("""COMPUTED_VALUE"""),"AL")</f>
        <v>AL</v>
      </c>
      <c r="C6" s="3" t="str">
        <f ca="1">IFERROR(__xludf.DUMMYFUNCTION("GOOGLETRANSLATE($A6,""en"",""de"")"),"Alternative Medizin")</f>
        <v>Alternative Medizin</v>
      </c>
      <c r="D6" s="3" t="str">
        <f ca="1">IFERROR(__xludf.DUMMYFUNCTION("GOOGLETRANSLATE($A6,""en"",""fr"")"),"Médecine douce")</f>
        <v>Médecine douce</v>
      </c>
      <c r="E6" s="3" t="str">
        <f ca="1">IFERROR(__xludf.DUMMYFUNCTION("GOOGLETRANSLATE($A6,""en"",""es"")"),"Medicina alternativa")</f>
        <v>Medicina alternativa</v>
      </c>
      <c r="F6" s="3" t="str">
        <f ca="1">IFERROR(__xludf.DUMMYFUNCTION("GOOGLETRANSLATE($A6,""en"",""it"")"),"Medicina alternativa")</f>
        <v>Medicina alternativa</v>
      </c>
      <c r="G6" s="3" t="str">
        <f ca="1">IFERROR(__xludf.DUMMYFUNCTION("GOOGLETRANSLATE($A6,""en"",""zh-cn"")"),"替代药物")</f>
        <v>替代药物</v>
      </c>
      <c r="H6" s="3" t="str">
        <f ca="1">IFERROR(__xludf.DUMMYFUNCTION("GOOGLETRANSLATE($A6,""en"",""ja"")"),"代替医療")</f>
        <v>代替医療</v>
      </c>
      <c r="I6" s="3" t="str">
        <f ca="1">IFERROR(__xludf.DUMMYFUNCTION("GOOGLETRANSLATE($A6,""en"",""ko"")"),"대체 약품")</f>
        <v>대체 약품</v>
      </c>
      <c r="J6" s="3" t="str">
        <f ca="1">IFERROR(__xludf.DUMMYFUNCTION("GOOGLETRANSLATE($A6,""en"",""pt-BR"")"),"Medicina alternativa")</f>
        <v>Medicina alternativa</v>
      </c>
    </row>
    <row r="7" spans="1:26" ht="15.75" customHeight="1" x14ac:dyDescent="0.15">
      <c r="A7" s="10" t="str">
        <f ca="1">IFERROR(__xludf.DUMMYFUNCTION("""COMPUTED_VALUE"""),"Anesthesiology")</f>
        <v>Anesthesiology</v>
      </c>
      <c r="B7" s="9" t="str">
        <f ca="1">IFERROR(__xludf.DUMMYFUNCTION("""COMPUTED_VALUE"""),"AE")</f>
        <v>AE</v>
      </c>
      <c r="C7" s="3" t="str">
        <f ca="1">IFERROR(__xludf.DUMMYFUNCTION("GOOGLETRANSLATE($A7,""en"",""de"")"),"Anästhesiologie")</f>
        <v>Anästhesiologie</v>
      </c>
      <c r="D7" s="3" t="str">
        <f ca="1">IFERROR(__xludf.DUMMYFUNCTION("GOOGLETRANSLATE($A7,""en"",""fr"")"),"Anesthésiologie")</f>
        <v>Anesthésiologie</v>
      </c>
      <c r="E7" s="3" t="str">
        <f ca="1">IFERROR(__xludf.DUMMYFUNCTION("GOOGLETRANSLATE($A7,""en"",""es"")"),"Anestesiología")</f>
        <v>Anestesiología</v>
      </c>
      <c r="F7" s="3" t="str">
        <f ca="1">IFERROR(__xludf.DUMMYFUNCTION("GOOGLETRANSLATE($A7,""en"",""it"")"),"Anestesiologia")</f>
        <v>Anestesiologia</v>
      </c>
      <c r="G7" s="3" t="str">
        <f ca="1">IFERROR(__xludf.DUMMYFUNCTION("GOOGLETRANSLATE($A7,""en"",""zh-cn"")"),"麻醉学")</f>
        <v>麻醉学</v>
      </c>
      <c r="H7" s="3" t="str">
        <f ca="1">IFERROR(__xludf.DUMMYFUNCTION("GOOGLETRANSLATE($A7,""en"",""ja"")"),"麻酔学")</f>
        <v>麻酔学</v>
      </c>
      <c r="I7" s="3" t="str">
        <f ca="1">IFERROR(__xludf.DUMMYFUNCTION("GOOGLETRANSLATE($A7,""en"",""ko"")"),"마취학")</f>
        <v>마취학</v>
      </c>
      <c r="J7" s="3" t="str">
        <f ca="1">IFERROR(__xludf.DUMMYFUNCTION("GOOGLETRANSLATE($A7,""en"",""pt-BR"")"),"Anestesiologia")</f>
        <v>Anestesiologia</v>
      </c>
    </row>
    <row r="8" spans="1:26" ht="15.75" customHeight="1" x14ac:dyDescent="0.15">
      <c r="A8" s="9" t="str">
        <f ca="1">IFERROR(__xludf.DUMMYFUNCTION("""COMPUTED_VALUE"""),"Cardiology")</f>
        <v>Cardiology</v>
      </c>
      <c r="B8" s="9" t="str">
        <f ca="1">IFERROR(__xludf.DUMMYFUNCTION("""COMPUTED_VALUE"""),"CD")</f>
        <v>CD</v>
      </c>
      <c r="C8" s="3" t="str">
        <f ca="1">IFERROR(__xludf.DUMMYFUNCTION("GOOGLETRANSLATE($A8,""en"",""de"")"),"Kardiologie")</f>
        <v>Kardiologie</v>
      </c>
      <c r="D8" s="3" t="str">
        <f ca="1">IFERROR(__xludf.DUMMYFUNCTION("GOOGLETRANSLATE($A8,""en"",""fr"")"),"Cardiologie")</f>
        <v>Cardiologie</v>
      </c>
      <c r="E8" s="3" t="str">
        <f ca="1">IFERROR(__xludf.DUMMYFUNCTION("GOOGLETRANSLATE($A8,""en"",""es"")"),"Cardiología")</f>
        <v>Cardiología</v>
      </c>
      <c r="F8" s="3" t="str">
        <f ca="1">IFERROR(__xludf.DUMMYFUNCTION("GOOGLETRANSLATE($A8,""en"",""it"")"),"Cardiologia")</f>
        <v>Cardiologia</v>
      </c>
      <c r="G8" s="3" t="str">
        <f ca="1">IFERROR(__xludf.DUMMYFUNCTION("GOOGLETRANSLATE($A8,""en"",""zh-cn"")"),"心脏病学")</f>
        <v>心脏病学</v>
      </c>
      <c r="H8" s="3" t="str">
        <f ca="1">IFERROR(__xludf.DUMMYFUNCTION("GOOGLETRANSLATE($A8,""en"",""ja"")"),"心臓病学")</f>
        <v>心臓病学</v>
      </c>
      <c r="I8" s="3" t="str">
        <f ca="1">IFERROR(__xludf.DUMMYFUNCTION("GOOGLETRANSLATE($A8,""en"",""ko"")"),"심장학")</f>
        <v>심장학</v>
      </c>
      <c r="J8" s="3" t="str">
        <f ca="1">IFERROR(__xludf.DUMMYFUNCTION("GOOGLETRANSLATE($A8,""en"",""pt-BR"")"),"Cardiologia")</f>
        <v>Cardiologia</v>
      </c>
    </row>
    <row r="9" spans="1:26" ht="15.75" customHeight="1" x14ac:dyDescent="0.15">
      <c r="A9" s="10" t="str">
        <f ca="1">IFERROR(__xludf.DUMMYFUNCTION("""COMPUTED_VALUE"""),"Dentistry")</f>
        <v>Dentistry</v>
      </c>
      <c r="B9" s="9" t="str">
        <f ca="1">IFERROR(__xludf.DUMMYFUNCTION("""COMPUTED_VALUE"""),"DT")</f>
        <v>DT</v>
      </c>
      <c r="C9" s="3" t="str">
        <f ca="1">IFERROR(__xludf.DUMMYFUNCTION("GOOGLETRANSLATE($A9,""en"",""de"")"),"Zahnheilkunde")</f>
        <v>Zahnheilkunde</v>
      </c>
      <c r="D9" s="3" t="str">
        <f ca="1">IFERROR(__xludf.DUMMYFUNCTION("GOOGLETRANSLATE($A9,""en"",""fr"")"),"Dentisterie")</f>
        <v>Dentisterie</v>
      </c>
      <c r="E9" s="3" t="str">
        <f ca="1">IFERROR(__xludf.DUMMYFUNCTION("GOOGLETRANSLATE($A9,""en"",""es"")"),"Odontología")</f>
        <v>Odontología</v>
      </c>
      <c r="F9" s="3" t="str">
        <f ca="1">IFERROR(__xludf.DUMMYFUNCTION("GOOGLETRANSLATE($A9,""en"",""it"")"),"Odontoiatria")</f>
        <v>Odontoiatria</v>
      </c>
      <c r="G9" s="3" t="str">
        <f ca="1">IFERROR(__xludf.DUMMYFUNCTION("GOOGLETRANSLATE($A9,""en"",""zh-cn"")"),"牙科")</f>
        <v>牙科</v>
      </c>
      <c r="H9" s="3" t="str">
        <f ca="1">IFERROR(__xludf.DUMMYFUNCTION("GOOGLETRANSLATE($A9,""en"",""ja"")"),"歯科")</f>
        <v>歯科</v>
      </c>
      <c r="I9" s="3" t="str">
        <f ca="1">IFERROR(__xludf.DUMMYFUNCTION("GOOGLETRANSLATE($A9,""en"",""ko"")"),"치과")</f>
        <v>치과</v>
      </c>
      <c r="J9" s="3" t="str">
        <f ca="1">IFERROR(__xludf.DUMMYFUNCTION("GOOGLETRANSLATE($A9,""en"",""pt-BR"")"),"Odontologia")</f>
        <v>Odontologia</v>
      </c>
    </row>
    <row r="10" spans="1:26" ht="15.75" customHeight="1" x14ac:dyDescent="0.15">
      <c r="A10" s="10" t="str">
        <f ca="1">IFERROR(__xludf.DUMMYFUNCTION("""COMPUTED_VALUE"""),"Dermatology")</f>
        <v>Dermatology</v>
      </c>
      <c r="B10" s="9" t="str">
        <f ca="1">IFERROR(__xludf.DUMMYFUNCTION("""COMPUTED_VALUE"""),"DM")</f>
        <v>DM</v>
      </c>
      <c r="C10" s="3" t="str">
        <f ca="1">IFERROR(__xludf.DUMMYFUNCTION("GOOGLETRANSLATE($A10,""en"",""de"")"),"Dermatologie")</f>
        <v>Dermatologie</v>
      </c>
      <c r="D10" s="3" t="str">
        <f ca="1">IFERROR(__xludf.DUMMYFUNCTION("GOOGLETRANSLATE($A10,""en"",""fr"")"),"Dermatologie")</f>
        <v>Dermatologie</v>
      </c>
      <c r="E10" s="3" t="str">
        <f ca="1">IFERROR(__xludf.DUMMYFUNCTION("GOOGLETRANSLATE($A10,""en"",""es"")"),"Dermatología")</f>
        <v>Dermatología</v>
      </c>
      <c r="F10" s="3" t="str">
        <f ca="1">IFERROR(__xludf.DUMMYFUNCTION("GOOGLETRANSLATE($A10,""en"",""it"")"),"Dermatologia")</f>
        <v>Dermatologia</v>
      </c>
      <c r="G10" s="3" t="str">
        <f ca="1">IFERROR(__xludf.DUMMYFUNCTION("GOOGLETRANSLATE($A10,""en"",""zh-cn"")"),"皮肤科")</f>
        <v>皮肤科</v>
      </c>
      <c r="H10" s="3" t="str">
        <f ca="1">IFERROR(__xludf.DUMMYFUNCTION("GOOGLETRANSLATE($A10,""en"",""ja"")"),"皮膚科")</f>
        <v>皮膚科</v>
      </c>
      <c r="I10" s="3" t="str">
        <f ca="1">IFERROR(__xludf.DUMMYFUNCTION("GOOGLETRANSLATE($A10,""en"",""ko"")"),"피부과")</f>
        <v>피부과</v>
      </c>
      <c r="J10" s="3" t="str">
        <f ca="1">IFERROR(__xludf.DUMMYFUNCTION("GOOGLETRANSLATE($A10,""en"",""pt-BR"")"),"Dermatologia")</f>
        <v>Dermatologia</v>
      </c>
    </row>
    <row r="11" spans="1:26" ht="15.75" customHeight="1" x14ac:dyDescent="0.15">
      <c r="A11" s="10" t="str">
        <f ca="1">IFERROR(__xludf.DUMMYFUNCTION("""COMPUTED_VALUE"""),"Emergency Medicine")</f>
        <v>Emergency Medicine</v>
      </c>
      <c r="B11" s="9" t="str">
        <f ca="1">IFERROR(__xludf.DUMMYFUNCTION("""COMPUTED_VALUE"""),"EM")</f>
        <v>EM</v>
      </c>
      <c r="C11" s="3" t="str">
        <f ca="1">IFERROR(__xludf.DUMMYFUNCTION("GOOGLETRANSLATE($A11,""en"",""de"")"),"Notfallmedizin")</f>
        <v>Notfallmedizin</v>
      </c>
      <c r="D11" s="3" t="str">
        <f ca="1">IFERROR(__xludf.DUMMYFUNCTION("GOOGLETRANSLATE($A11,""en"",""fr"")"),"Médecine d'urgence")</f>
        <v>Médecine d'urgence</v>
      </c>
      <c r="E11" s="3" t="str">
        <f ca="1">IFERROR(__xludf.DUMMYFUNCTION("GOOGLETRANSLATE($A11,""en"",""es"")"),"Medicina de emergencia")</f>
        <v>Medicina de emergencia</v>
      </c>
      <c r="F11" s="3" t="str">
        <f ca="1">IFERROR(__xludf.DUMMYFUNCTION("GOOGLETRANSLATE($A11,""en"",""it"")"),"Medicina d'emergenza")</f>
        <v>Medicina d'emergenza</v>
      </c>
      <c r="G11" s="3" t="str">
        <f ca="1">IFERROR(__xludf.DUMMYFUNCTION("GOOGLETRANSLATE($A11,""en"",""zh-cn"")"),"急诊医学")</f>
        <v>急诊医学</v>
      </c>
      <c r="H11" s="3" t="str">
        <f ca="1">IFERROR(__xludf.DUMMYFUNCTION("GOOGLETRANSLATE($A11,""en"",""ja"")"),"救急医療")</f>
        <v>救急医療</v>
      </c>
      <c r="I11" s="3" t="str">
        <f ca="1">IFERROR(__xludf.DUMMYFUNCTION("GOOGLETRANSLATE($A11,""en"",""ko"")"),"응급 의료품")</f>
        <v>응급 의료품</v>
      </c>
      <c r="J11" s="3" t="str">
        <f ca="1">IFERROR(__xludf.DUMMYFUNCTION("GOOGLETRANSLATE($A11,""en"",""pt-BR"")"),"Medicamento de emergência")</f>
        <v>Medicamento de emergência</v>
      </c>
    </row>
    <row r="12" spans="1:26" ht="15.75" customHeight="1" x14ac:dyDescent="0.15">
      <c r="A12" s="9" t="str">
        <f ca="1">IFERROR(__xludf.DUMMYFUNCTION("""COMPUTED_VALUE"""),"Endocrinology")</f>
        <v>Endocrinology</v>
      </c>
      <c r="B12" s="9" t="str">
        <f ca="1">IFERROR(__xludf.DUMMYFUNCTION("""COMPUTED_VALUE"""),"ED")</f>
        <v>ED</v>
      </c>
      <c r="C12" s="3" t="str">
        <f ca="1">IFERROR(__xludf.DUMMYFUNCTION("GOOGLETRANSLATE($A12,""en"",""de"")"),"Endokrinologie")</f>
        <v>Endokrinologie</v>
      </c>
      <c r="D12" s="3" t="str">
        <f ca="1">IFERROR(__xludf.DUMMYFUNCTION("GOOGLETRANSLATE($A12,""en"",""fr"")"),"Endocrinologie")</f>
        <v>Endocrinologie</v>
      </c>
      <c r="E12" s="3" t="str">
        <f ca="1">IFERROR(__xludf.DUMMYFUNCTION("GOOGLETRANSLATE($A12,""en"",""es"")"),"Endocrinología")</f>
        <v>Endocrinología</v>
      </c>
      <c r="F12" s="3" t="str">
        <f ca="1">IFERROR(__xludf.DUMMYFUNCTION("GOOGLETRANSLATE($A12,""en"",""it"")"),"Endocrinologia")</f>
        <v>Endocrinologia</v>
      </c>
      <c r="G12" s="3" t="str">
        <f ca="1">IFERROR(__xludf.DUMMYFUNCTION("GOOGLETRANSLATE($A12,""en"",""zh-cn"")"),"内分泌科")</f>
        <v>内分泌科</v>
      </c>
      <c r="H12" s="3" t="str">
        <f ca="1">IFERROR(__xludf.DUMMYFUNCTION("GOOGLETRANSLATE($A12,""en"",""ja"")"),"内分泌学")</f>
        <v>内分泌学</v>
      </c>
      <c r="I12" s="3" t="str">
        <f ca="1">IFERROR(__xludf.DUMMYFUNCTION("GOOGLETRANSLATE($A12,""en"",""ko"")"),"내분비학")</f>
        <v>내분비학</v>
      </c>
      <c r="J12" s="3" t="str">
        <f ca="1">IFERROR(__xludf.DUMMYFUNCTION("GOOGLETRANSLATE($A12,""en"",""pt-BR"")"),"Endocrinologia")</f>
        <v>Endocrinologia</v>
      </c>
    </row>
    <row r="13" spans="1:26" ht="15.75" customHeight="1" x14ac:dyDescent="0.15">
      <c r="A13" s="10" t="str">
        <f ca="1">IFERROR(__xludf.DUMMYFUNCTION("""COMPUTED_VALUE"""),"Gastroenterology")</f>
        <v>Gastroenterology</v>
      </c>
      <c r="B13" s="9" t="str">
        <f ca="1">IFERROR(__xludf.DUMMYFUNCTION("""COMPUTED_VALUE"""),"GE")</f>
        <v>GE</v>
      </c>
      <c r="C13" s="3" t="str">
        <f ca="1">IFERROR(__xludf.DUMMYFUNCTION("GOOGLETRANSLATE($A13,""en"",""de"")"),"Gastroenterologie")</f>
        <v>Gastroenterologie</v>
      </c>
      <c r="D13" s="3" t="str">
        <f ca="1">IFERROR(__xludf.DUMMYFUNCTION("GOOGLETRANSLATE($A13,""en"",""fr"")"),"Gastro-entérologie")</f>
        <v>Gastro-entérologie</v>
      </c>
      <c r="E13" s="3" t="str">
        <f ca="1">IFERROR(__xludf.DUMMYFUNCTION("GOOGLETRANSLATE($A13,""en"",""es"")"),"Gastroenterología")</f>
        <v>Gastroenterología</v>
      </c>
      <c r="F13" s="3" t="str">
        <f ca="1">IFERROR(__xludf.DUMMYFUNCTION("GOOGLETRANSLATE($A13,""en"",""it"")"),"Gastroenterologia")</f>
        <v>Gastroenterologia</v>
      </c>
      <c r="G13" s="3" t="str">
        <f ca="1">IFERROR(__xludf.DUMMYFUNCTION("GOOGLETRANSLATE($A13,""en"",""zh-cn"")"),"胃肠病学")</f>
        <v>胃肠病学</v>
      </c>
      <c r="H13" s="3" t="str">
        <f ca="1">IFERROR(__xludf.DUMMYFUNCTION("GOOGLETRANSLATE($A13,""en"",""ja"")"),"消化器科")</f>
        <v>消化器科</v>
      </c>
      <c r="I13" s="3" t="str">
        <f ca="1">IFERROR(__xludf.DUMMYFUNCTION("GOOGLETRANSLATE($A13,""en"",""ko"")"),"위장병학")</f>
        <v>위장병학</v>
      </c>
      <c r="J13" s="3" t="str">
        <f ca="1">IFERROR(__xludf.DUMMYFUNCTION("GOOGLETRANSLATE($A13,""en"",""pt-BR"")"),"Gastroenterologia")</f>
        <v>Gastroenterologia</v>
      </c>
    </row>
    <row r="14" spans="1:26" ht="15.75" customHeight="1" x14ac:dyDescent="0.15">
      <c r="A14" s="9" t="str">
        <f ca="1">IFERROR(__xludf.DUMMYFUNCTION("""COMPUTED_VALUE"""),"General Practice")</f>
        <v>General Practice</v>
      </c>
      <c r="B14" s="9" t="str">
        <f ca="1">IFERROR(__xludf.DUMMYFUNCTION("""COMPUTED_VALUE"""),"GP")</f>
        <v>GP</v>
      </c>
      <c r="C14" s="3" t="str">
        <f ca="1">IFERROR(__xludf.DUMMYFUNCTION("GOOGLETRANSLATE($A14,""en"",""de"")"),"Allgemeine Praxis")</f>
        <v>Allgemeine Praxis</v>
      </c>
      <c r="D14" s="3" t="str">
        <f ca="1">IFERROR(__xludf.DUMMYFUNCTION("GOOGLETRANSLATE($A14,""en"",""fr"")"),"Pratique générale")</f>
        <v>Pratique générale</v>
      </c>
      <c r="E14" s="3" t="str">
        <f ca="1">IFERROR(__xludf.DUMMYFUNCTION("GOOGLETRANSLATE($A14,""en"",""es"")"),"Práctica general")</f>
        <v>Práctica general</v>
      </c>
      <c r="F14" s="3" t="str">
        <f ca="1">IFERROR(__xludf.DUMMYFUNCTION("GOOGLETRANSLATE($A14,""en"",""it"")"),"Pratica generale")</f>
        <v>Pratica generale</v>
      </c>
      <c r="G14" s="3" t="str">
        <f ca="1">IFERROR(__xludf.DUMMYFUNCTION("GOOGLETRANSLATE($A14,""en"",""zh-cn"")"),"一般实践")</f>
        <v>一般实践</v>
      </c>
      <c r="H14" s="3" t="str">
        <f ca="1">IFERROR(__xludf.DUMMYFUNCTION("GOOGLETRANSLATE($A14,""en"",""ja"")"),"一般診療")</f>
        <v>一般診療</v>
      </c>
      <c r="I14" s="3" t="str">
        <f ca="1">IFERROR(__xludf.DUMMYFUNCTION("GOOGLETRANSLATE($A14,""en"",""ko"")"),"일반 실습")</f>
        <v>일반 실습</v>
      </c>
      <c r="J14" s="3" t="str">
        <f ca="1">IFERROR(__xludf.DUMMYFUNCTION("GOOGLETRANSLATE($A14,""en"",""pt-BR"")"),"Prática geral")</f>
        <v>Prática geral</v>
      </c>
    </row>
    <row r="15" spans="1:26" ht="15.75" customHeight="1" x14ac:dyDescent="0.15">
      <c r="A15" s="10" t="str">
        <f ca="1">IFERROR(__xludf.DUMMYFUNCTION("""COMPUTED_VALUE"""),"Genetics")</f>
        <v>Genetics</v>
      </c>
      <c r="B15" s="9" t="str">
        <f ca="1">IFERROR(__xludf.DUMMYFUNCTION("""COMPUTED_VALUE"""),"GN")</f>
        <v>GN</v>
      </c>
      <c r="C15" s="3" t="str">
        <f ca="1">IFERROR(__xludf.DUMMYFUNCTION("GOOGLETRANSLATE($A15,""en"",""de"")"),"Genetik")</f>
        <v>Genetik</v>
      </c>
      <c r="D15" s="3" t="str">
        <f ca="1">IFERROR(__xludf.DUMMYFUNCTION("GOOGLETRANSLATE($A15,""en"",""fr"")"),"La génétique")</f>
        <v>La génétique</v>
      </c>
      <c r="E15" s="3" t="str">
        <f ca="1">IFERROR(__xludf.DUMMYFUNCTION("GOOGLETRANSLATE($A15,""en"",""es"")"),"Genética")</f>
        <v>Genética</v>
      </c>
      <c r="F15" s="3" t="str">
        <f ca="1">IFERROR(__xludf.DUMMYFUNCTION("GOOGLETRANSLATE($A15,""en"",""it"")"),"Genetica")</f>
        <v>Genetica</v>
      </c>
      <c r="G15" s="3" t="str">
        <f ca="1">IFERROR(__xludf.DUMMYFUNCTION("GOOGLETRANSLATE($A15,""en"",""zh-cn"")"),"遗传学")</f>
        <v>遗传学</v>
      </c>
      <c r="H15" s="3" t="str">
        <f ca="1">IFERROR(__xludf.DUMMYFUNCTION("GOOGLETRANSLATE($A15,""en"",""ja"")"),"遺伝学")</f>
        <v>遺伝学</v>
      </c>
      <c r="I15" s="3" t="str">
        <f ca="1">IFERROR(__xludf.DUMMYFUNCTION("GOOGLETRANSLATE($A15,""en"",""ko"")"),"유전학")</f>
        <v>유전학</v>
      </c>
      <c r="J15" s="3" t="str">
        <f ca="1">IFERROR(__xludf.DUMMYFUNCTION("GOOGLETRANSLATE($A15,""en"",""pt-BR"")"),"Genética")</f>
        <v>Genética</v>
      </c>
    </row>
    <row r="16" spans="1:26" ht="15.75" customHeight="1" x14ac:dyDescent="0.15">
      <c r="A16" s="10" t="str">
        <f ca="1">IFERROR(__xludf.DUMMYFUNCTION("""COMPUTED_VALUE"""),"Geriatrics")</f>
        <v>Geriatrics</v>
      </c>
      <c r="B16" s="9" t="str">
        <f ca="1">IFERROR(__xludf.DUMMYFUNCTION("""COMPUTED_VALUE"""),"GR")</f>
        <v>GR</v>
      </c>
      <c r="C16" s="3" t="str">
        <f ca="1">IFERROR(__xludf.DUMMYFUNCTION("GOOGLETRANSLATE($A16,""en"",""de"")"),"Geriatrie")</f>
        <v>Geriatrie</v>
      </c>
      <c r="D16" s="3" t="str">
        <f ca="1">IFERROR(__xludf.DUMMYFUNCTION("GOOGLETRANSLATE($A16,""en"",""fr"")"),"Gériatrie")</f>
        <v>Gériatrie</v>
      </c>
      <c r="E16" s="3" t="str">
        <f ca="1">IFERROR(__xludf.DUMMYFUNCTION("GOOGLETRANSLATE($A16,""en"",""es"")"),"Geriatría")</f>
        <v>Geriatría</v>
      </c>
      <c r="F16" s="3" t="str">
        <f ca="1">IFERROR(__xludf.DUMMYFUNCTION("GOOGLETRANSLATE($A16,""en"",""it"")"),"Geriatria")</f>
        <v>Geriatria</v>
      </c>
      <c r="G16" s="3" t="str">
        <f ca="1">IFERROR(__xludf.DUMMYFUNCTION("GOOGLETRANSLATE($A16,""en"",""zh-cn"")"),"老年医学")</f>
        <v>老年医学</v>
      </c>
      <c r="H16" s="3" t="str">
        <f ca="1">IFERROR(__xludf.DUMMYFUNCTION("GOOGLETRANSLATE($A16,""en"",""ja"")"),"老人医学")</f>
        <v>老人医学</v>
      </c>
      <c r="I16" s="3" t="str">
        <f ca="1">IFERROR(__xludf.DUMMYFUNCTION("GOOGLETRANSLATE($A16,""en"",""ko"")"),"노인의학")</f>
        <v>노인의학</v>
      </c>
      <c r="J16" s="3" t="str">
        <f ca="1">IFERROR(__xludf.DUMMYFUNCTION("GOOGLETRANSLATE($A16,""en"",""pt-BR"")"),"Geriatria")</f>
        <v>Geriatria</v>
      </c>
    </row>
    <row r="17" spans="1:10" ht="15.75" customHeight="1" x14ac:dyDescent="0.15">
      <c r="A17" s="10" t="str">
        <f ca="1">IFERROR(__xludf.DUMMYFUNCTION("""COMPUTED_VALUE"""),"Gynecology")</f>
        <v>Gynecology</v>
      </c>
      <c r="B17" s="9" t="str">
        <f ca="1">IFERROR(__xludf.DUMMYFUNCTION("""COMPUTED_VALUE"""),"GY")</f>
        <v>GY</v>
      </c>
      <c r="C17" s="3" t="str">
        <f ca="1">IFERROR(__xludf.DUMMYFUNCTION("GOOGLETRANSLATE($A17,""en"",""de"")"),"Gynäkologie")</f>
        <v>Gynäkologie</v>
      </c>
      <c r="D17" s="3" t="str">
        <f ca="1">IFERROR(__xludf.DUMMYFUNCTION("GOOGLETRANSLATE($A17,""en"",""fr"")"),"Gynécologie")</f>
        <v>Gynécologie</v>
      </c>
      <c r="E17" s="3" t="str">
        <f ca="1">IFERROR(__xludf.DUMMYFUNCTION("GOOGLETRANSLATE($A17,""en"",""es"")"),"Ginecología")</f>
        <v>Ginecología</v>
      </c>
      <c r="F17" s="3" t="str">
        <f ca="1">IFERROR(__xludf.DUMMYFUNCTION("GOOGLETRANSLATE($A17,""en"",""it"")"),"Ginecologia")</f>
        <v>Ginecologia</v>
      </c>
      <c r="G17" s="3" t="str">
        <f ca="1">IFERROR(__xludf.DUMMYFUNCTION("GOOGLETRANSLATE($A17,""en"",""zh-cn"")"),"妇科")</f>
        <v>妇科</v>
      </c>
      <c r="H17" s="3" t="str">
        <f ca="1">IFERROR(__xludf.DUMMYFUNCTION("GOOGLETRANSLATE($A17,""en"",""ja"")"),"婦人科")</f>
        <v>婦人科</v>
      </c>
      <c r="I17" s="3" t="str">
        <f ca="1">IFERROR(__xludf.DUMMYFUNCTION("GOOGLETRANSLATE($A17,""en"",""ko"")"),"산부인과")</f>
        <v>산부인과</v>
      </c>
      <c r="J17" s="3" t="str">
        <f ca="1">IFERROR(__xludf.DUMMYFUNCTION("GOOGLETRANSLATE($A17,""en"",""pt-BR"")"),"Ginecologia")</f>
        <v>Ginecologia</v>
      </c>
    </row>
    <row r="18" spans="1:10" ht="15.75" customHeight="1" x14ac:dyDescent="0.15">
      <c r="A18" s="10" t="str">
        <f ca="1">IFERROR(__xludf.DUMMYFUNCTION("""COMPUTED_VALUE"""),"Hematology")</f>
        <v>Hematology</v>
      </c>
      <c r="B18" s="9" t="str">
        <f ca="1">IFERROR(__xludf.DUMMYFUNCTION("""COMPUTED_VALUE"""),"HM")</f>
        <v>HM</v>
      </c>
      <c r="C18" s="3" t="str">
        <f ca="1">IFERROR(__xludf.DUMMYFUNCTION("GOOGLETRANSLATE($A18,""en"",""de"")"),"Hämatologie")</f>
        <v>Hämatologie</v>
      </c>
      <c r="D18" s="3" t="str">
        <f ca="1">IFERROR(__xludf.DUMMYFUNCTION("GOOGLETRANSLATE($A18,""en"",""fr"")"),"Hématologie")</f>
        <v>Hématologie</v>
      </c>
      <c r="E18" s="3" t="str">
        <f ca="1">IFERROR(__xludf.DUMMYFUNCTION("GOOGLETRANSLATE($A18,""en"",""es"")"),"Hematología")</f>
        <v>Hematología</v>
      </c>
      <c r="F18" s="3" t="str">
        <f ca="1">IFERROR(__xludf.DUMMYFUNCTION("GOOGLETRANSLATE($A18,""en"",""it"")"),"Ematologia")</f>
        <v>Ematologia</v>
      </c>
      <c r="G18" s="3" t="str">
        <f ca="1">IFERROR(__xludf.DUMMYFUNCTION("GOOGLETRANSLATE($A18,""en"",""zh-cn"")"),"血液学")</f>
        <v>血液学</v>
      </c>
      <c r="H18" s="3" t="str">
        <f ca="1">IFERROR(__xludf.DUMMYFUNCTION("GOOGLETRANSLATE($A18,""en"",""ja"")"),"血液学")</f>
        <v>血液学</v>
      </c>
      <c r="I18" s="3" t="str">
        <f ca="1">IFERROR(__xludf.DUMMYFUNCTION("GOOGLETRANSLATE($A18,""en"",""ko"")"),"혈액학")</f>
        <v>혈액학</v>
      </c>
      <c r="J18" s="3" t="str">
        <f ca="1">IFERROR(__xludf.DUMMYFUNCTION("GOOGLETRANSLATE($A18,""en"",""pt-BR"")"),"Hematologia")</f>
        <v>Hematologia</v>
      </c>
    </row>
    <row r="19" spans="1:10" ht="15.75" customHeight="1" x14ac:dyDescent="0.15">
      <c r="A19" s="10" t="str">
        <f ca="1">IFERROR(__xludf.DUMMYFUNCTION("""COMPUTED_VALUE"""),"Immunology")</f>
        <v>Immunology</v>
      </c>
      <c r="B19" s="9" t="str">
        <f ca="1">IFERROR(__xludf.DUMMYFUNCTION("""COMPUTED_VALUE"""),"IY")</f>
        <v>IY</v>
      </c>
      <c r="C19" s="3" t="str">
        <f ca="1">IFERROR(__xludf.DUMMYFUNCTION("GOOGLETRANSLATE($A19,""en"",""de"")"),"Immunologie")</f>
        <v>Immunologie</v>
      </c>
      <c r="D19" s="3" t="str">
        <f ca="1">IFERROR(__xludf.DUMMYFUNCTION("GOOGLETRANSLATE($A19,""en"",""fr"")"),"Immunologie")</f>
        <v>Immunologie</v>
      </c>
      <c r="E19" s="3" t="str">
        <f ca="1">IFERROR(__xludf.DUMMYFUNCTION("GOOGLETRANSLATE($A19,""en"",""es"")"),"Inmunología")</f>
        <v>Inmunología</v>
      </c>
      <c r="F19" s="3" t="str">
        <f ca="1">IFERROR(__xludf.DUMMYFUNCTION("GOOGLETRANSLATE($A19,""en"",""it"")"),"Immunologia")</f>
        <v>Immunologia</v>
      </c>
      <c r="G19" s="3" t="str">
        <f ca="1">IFERROR(__xludf.DUMMYFUNCTION("GOOGLETRANSLATE($A19,""en"",""zh-cn"")"),"免疫学")</f>
        <v>免疫学</v>
      </c>
      <c r="H19" s="3" t="str">
        <f ca="1">IFERROR(__xludf.DUMMYFUNCTION("GOOGLETRANSLATE($A19,""en"",""ja"")"),"免疫学")</f>
        <v>免疫学</v>
      </c>
      <c r="I19" s="3" t="str">
        <f ca="1">IFERROR(__xludf.DUMMYFUNCTION("GOOGLETRANSLATE($A19,""en"",""ko"")"),"면역학")</f>
        <v>면역학</v>
      </c>
      <c r="J19" s="3" t="str">
        <f ca="1">IFERROR(__xludf.DUMMYFUNCTION("GOOGLETRANSLATE($A19,""en"",""pt-BR"")"),"Imunologia")</f>
        <v>Imunologia</v>
      </c>
    </row>
    <row r="20" spans="1:10" ht="15.75" customHeight="1" x14ac:dyDescent="0.15">
      <c r="A20" s="10" t="str">
        <f ca="1">IFERROR(__xludf.DUMMYFUNCTION("""COMPUTED_VALUE"""),"Infectious Diseases")</f>
        <v>Infectious Diseases</v>
      </c>
      <c r="B20" s="9" t="str">
        <f ca="1">IFERROR(__xludf.DUMMYFUNCTION("""COMPUTED_VALUE"""),"ID")</f>
        <v>ID</v>
      </c>
      <c r="C20" s="3" t="str">
        <f ca="1">IFERROR(__xludf.DUMMYFUNCTION("GOOGLETRANSLATE($A20,""en"",""de"")"),"Infektionskrankheiten")</f>
        <v>Infektionskrankheiten</v>
      </c>
      <c r="D20" s="3" t="str">
        <f ca="1">IFERROR(__xludf.DUMMYFUNCTION("GOOGLETRANSLATE($A20,""en"",""fr"")"),"Maladies infectieuses")</f>
        <v>Maladies infectieuses</v>
      </c>
      <c r="E20" s="3" t="str">
        <f ca="1">IFERROR(__xludf.DUMMYFUNCTION("GOOGLETRANSLATE($A20,""en"",""es"")"),"Enfermedades infecciosas")</f>
        <v>Enfermedades infecciosas</v>
      </c>
      <c r="F20" s="3" t="str">
        <f ca="1">IFERROR(__xludf.DUMMYFUNCTION("GOOGLETRANSLATE($A20,""en"",""it"")"),"Malattie infettive")</f>
        <v>Malattie infettive</v>
      </c>
      <c r="G20" s="3" t="str">
        <f ca="1">IFERROR(__xludf.DUMMYFUNCTION("GOOGLETRANSLATE($A20,""en"",""zh-cn"")"),"传染性疾病")</f>
        <v>传染性疾病</v>
      </c>
      <c r="H20" s="3" t="str">
        <f ca="1">IFERROR(__xludf.DUMMYFUNCTION("GOOGLETRANSLATE($A20,""en"",""ja"")"),"感染症")</f>
        <v>感染症</v>
      </c>
      <c r="I20" s="3" t="str">
        <f ca="1">IFERROR(__xludf.DUMMYFUNCTION("GOOGLETRANSLATE($A20,""en"",""ko"")"),"전염병")</f>
        <v>전염병</v>
      </c>
      <c r="J20" s="3" t="str">
        <f ca="1">IFERROR(__xludf.DUMMYFUNCTION("GOOGLETRANSLATE($A20,""en"",""pt-BR"")"),"Doenças infecciosas")</f>
        <v>Doenças infecciosas</v>
      </c>
    </row>
    <row r="21" spans="1:10" ht="15.75" customHeight="1" x14ac:dyDescent="0.15">
      <c r="A21" s="10" t="str">
        <f ca="1">IFERROR(__xludf.DUMMYFUNCTION("""COMPUTED_VALUE"""),"Internal Medicine")</f>
        <v>Internal Medicine</v>
      </c>
      <c r="B21" s="9" t="str">
        <f ca="1">IFERROR(__xludf.DUMMYFUNCTION("""COMPUTED_VALUE"""),"IM")</f>
        <v>IM</v>
      </c>
      <c r="C21" s="3" t="str">
        <f ca="1">IFERROR(__xludf.DUMMYFUNCTION("GOOGLETRANSLATE($A21,""en"",""de"")"),"Innere Medizin")</f>
        <v>Innere Medizin</v>
      </c>
      <c r="D21" s="3" t="str">
        <f ca="1">IFERROR(__xludf.DUMMYFUNCTION("GOOGLETRANSLATE($A21,""en"",""fr"")"),"Médecine interne")</f>
        <v>Médecine interne</v>
      </c>
      <c r="E21" s="3" t="str">
        <f ca="1">IFERROR(__xludf.DUMMYFUNCTION("GOOGLETRANSLATE($A21,""en"",""es"")"),"Medicina Interna")</f>
        <v>Medicina Interna</v>
      </c>
      <c r="F21" s="3" t="str">
        <f ca="1">IFERROR(__xludf.DUMMYFUNCTION("GOOGLETRANSLATE($A21,""en"",""it"")"),"Medicina Interna")</f>
        <v>Medicina Interna</v>
      </c>
      <c r="G21" s="3" t="str">
        <f ca="1">IFERROR(__xludf.DUMMYFUNCTION("GOOGLETRANSLATE($A21,""en"",""zh-cn"")"),"内科")</f>
        <v>内科</v>
      </c>
      <c r="H21" s="3" t="str">
        <f ca="1">IFERROR(__xludf.DUMMYFUNCTION("GOOGLETRANSLATE($A21,""en"",""ja"")"),"内科")</f>
        <v>内科</v>
      </c>
      <c r="I21" s="3" t="str">
        <f ca="1">IFERROR(__xludf.DUMMYFUNCTION("GOOGLETRANSLATE($A21,""en"",""ko"")"),"내과")</f>
        <v>내과</v>
      </c>
      <c r="J21" s="3" t="str">
        <f ca="1">IFERROR(__xludf.DUMMYFUNCTION("GOOGLETRANSLATE($A21,""en"",""pt-BR"")"),"Medicina Interna")</f>
        <v>Medicina Interna</v>
      </c>
    </row>
    <row r="22" spans="1:10" ht="15.75" customHeight="1" x14ac:dyDescent="0.15">
      <c r="A22" s="10" t="str">
        <f ca="1">IFERROR(__xludf.DUMMYFUNCTION("""COMPUTED_VALUE"""),"Nephrology")</f>
        <v>Nephrology</v>
      </c>
      <c r="B22" s="9" t="str">
        <f ca="1">IFERROR(__xludf.DUMMYFUNCTION("""COMPUTED_VALUE"""),"NP")</f>
        <v>NP</v>
      </c>
      <c r="C22" s="3" t="str">
        <f ca="1">IFERROR(__xludf.DUMMYFUNCTION("GOOGLETRANSLATE($A22,""en"",""de"")"),"Nephrologie")</f>
        <v>Nephrologie</v>
      </c>
      <c r="D22" s="3" t="str">
        <f ca="1">IFERROR(__xludf.DUMMYFUNCTION("GOOGLETRANSLATE($A22,""en"",""fr"")"),"Néphrologie")</f>
        <v>Néphrologie</v>
      </c>
      <c r="E22" s="3" t="str">
        <f ca="1">IFERROR(__xludf.DUMMYFUNCTION("GOOGLETRANSLATE($A22,""en"",""es"")"),"Nefrología")</f>
        <v>Nefrología</v>
      </c>
      <c r="F22" s="3" t="str">
        <f ca="1">IFERROR(__xludf.DUMMYFUNCTION("GOOGLETRANSLATE($A22,""en"",""it"")"),"Nefrologia")</f>
        <v>Nefrologia</v>
      </c>
      <c r="G22" s="3" t="str">
        <f ca="1">IFERROR(__xludf.DUMMYFUNCTION("GOOGLETRANSLATE($A22,""en"",""zh-cn"")"),"肾脏病学")</f>
        <v>肾脏病学</v>
      </c>
      <c r="H22" s="3" t="str">
        <f ca="1">IFERROR(__xludf.DUMMYFUNCTION("GOOGLETRANSLATE($A22,""en"",""ja"")"),"腎臓学")</f>
        <v>腎臓学</v>
      </c>
      <c r="I22" s="3" t="str">
        <f ca="1">IFERROR(__xludf.DUMMYFUNCTION("GOOGLETRANSLATE($A22,""en"",""ko"")"),"신장학")</f>
        <v>신장학</v>
      </c>
      <c r="J22" s="3" t="str">
        <f ca="1">IFERROR(__xludf.DUMMYFUNCTION("GOOGLETRANSLATE($A22,""en"",""pt-BR"")"),"Nefrologia")</f>
        <v>Nefrologia</v>
      </c>
    </row>
    <row r="23" spans="1:10" ht="15.75" customHeight="1" x14ac:dyDescent="0.15">
      <c r="A23" s="9" t="str">
        <f ca="1">IFERROR(__xludf.DUMMYFUNCTION("""COMPUTED_VALUE"""),"Neurology")</f>
        <v>Neurology</v>
      </c>
      <c r="B23" s="9" t="str">
        <f ca="1">IFERROR(__xludf.DUMMYFUNCTION("""COMPUTED_VALUE"""),"NY")</f>
        <v>NY</v>
      </c>
      <c r="C23" s="3" t="str">
        <f ca="1">IFERROR(__xludf.DUMMYFUNCTION("GOOGLETRANSLATE($A23,""en"",""de"")"),"Neurologie")</f>
        <v>Neurologie</v>
      </c>
      <c r="D23" s="3" t="str">
        <f ca="1">IFERROR(__xludf.DUMMYFUNCTION("GOOGLETRANSLATE($A23,""en"",""fr"")"),"Neurologie")</f>
        <v>Neurologie</v>
      </c>
      <c r="E23" s="3" t="str">
        <f ca="1">IFERROR(__xludf.DUMMYFUNCTION("GOOGLETRANSLATE($A23,""en"",""es"")"),"Neurología")</f>
        <v>Neurología</v>
      </c>
      <c r="F23" s="3" t="str">
        <f ca="1">IFERROR(__xludf.DUMMYFUNCTION("GOOGLETRANSLATE($A23,""en"",""it"")"),"Neurologia")</f>
        <v>Neurologia</v>
      </c>
      <c r="G23" s="3" t="str">
        <f ca="1">IFERROR(__xludf.DUMMYFUNCTION("GOOGLETRANSLATE($A23,""en"",""zh-cn"")"),"神经病学")</f>
        <v>神经病学</v>
      </c>
      <c r="H23" s="3" t="str">
        <f ca="1">IFERROR(__xludf.DUMMYFUNCTION("GOOGLETRANSLATE($A23,""en"",""ja"")"),"神経内科")</f>
        <v>神経内科</v>
      </c>
      <c r="I23" s="3" t="str">
        <f ca="1">IFERROR(__xludf.DUMMYFUNCTION("GOOGLETRANSLATE($A23,""en"",""ko"")"),"신경학")</f>
        <v>신경학</v>
      </c>
      <c r="J23" s="3" t="str">
        <f ca="1">IFERROR(__xludf.DUMMYFUNCTION("GOOGLETRANSLATE($A23,""en"",""pt-BR"")"),"Neurologia")</f>
        <v>Neurologia</v>
      </c>
    </row>
    <row r="24" spans="1:10" ht="15.75" customHeight="1" x14ac:dyDescent="0.15">
      <c r="A24" s="10" t="str">
        <f ca="1">IFERROR(__xludf.DUMMYFUNCTION("""COMPUTED_VALUE"""),"Nursing")</f>
        <v>Nursing</v>
      </c>
      <c r="B24" s="9" t="str">
        <f ca="1">IFERROR(__xludf.DUMMYFUNCTION("""COMPUTED_VALUE"""),"NU")</f>
        <v>NU</v>
      </c>
      <c r="C24" s="3" t="str">
        <f ca="1">IFERROR(__xludf.DUMMYFUNCTION("GOOGLETRANSLATE($A24,""en"",""de"")"),"Pflege")</f>
        <v>Pflege</v>
      </c>
      <c r="D24" s="3" t="str">
        <f ca="1">IFERROR(__xludf.DUMMYFUNCTION("GOOGLETRANSLATE($A24,""en"",""fr"")"),"Allaitement")</f>
        <v>Allaitement</v>
      </c>
      <c r="E24" s="3" t="str">
        <f ca="1">IFERROR(__xludf.DUMMYFUNCTION("GOOGLETRANSLATE($A24,""en"",""es"")"),"Enfermería")</f>
        <v>Enfermería</v>
      </c>
      <c r="F24" s="3" t="str">
        <f ca="1">IFERROR(__xludf.DUMMYFUNCTION("GOOGLETRANSLATE($A24,""en"",""it"")"),"Assistenza infermieristica")</f>
        <v>Assistenza infermieristica</v>
      </c>
      <c r="G24" s="3" t="str">
        <f ca="1">IFERROR(__xludf.DUMMYFUNCTION("GOOGLETRANSLATE($A24,""en"",""zh-cn"")"),"护理")</f>
        <v>护理</v>
      </c>
      <c r="H24" s="3" t="str">
        <f ca="1">IFERROR(__xludf.DUMMYFUNCTION("GOOGLETRANSLATE($A24,""en"",""ja"")"),"看護")</f>
        <v>看護</v>
      </c>
      <c r="I24" s="3" t="str">
        <f ca="1">IFERROR(__xludf.DUMMYFUNCTION("GOOGLETRANSLATE($A24,""en"",""ko"")"),"육아")</f>
        <v>육아</v>
      </c>
      <c r="J24" s="3" t="str">
        <f ca="1">IFERROR(__xludf.DUMMYFUNCTION("GOOGLETRANSLATE($A24,""en"",""pt-BR"")"),"Enfermagem")</f>
        <v>Enfermagem</v>
      </c>
    </row>
    <row r="25" spans="1:10" ht="15.75" customHeight="1" x14ac:dyDescent="0.15">
      <c r="A25" s="9" t="str">
        <f ca="1">IFERROR(__xludf.DUMMYFUNCTION("""COMPUTED_VALUE"""),"Oncology")</f>
        <v>Oncology</v>
      </c>
      <c r="B25" s="9" t="str">
        <f ca="1">IFERROR(__xludf.DUMMYFUNCTION("""COMPUTED_VALUE"""),"ON")</f>
        <v>ON</v>
      </c>
      <c r="C25" s="3" t="str">
        <f ca="1">IFERROR(__xludf.DUMMYFUNCTION("GOOGLETRANSLATE($A25,""en"",""de"")"),"Onkologie")</f>
        <v>Onkologie</v>
      </c>
      <c r="D25" s="3" t="str">
        <f ca="1">IFERROR(__xludf.DUMMYFUNCTION("GOOGLETRANSLATE($A25,""en"",""fr"")"),"Oncologie")</f>
        <v>Oncologie</v>
      </c>
      <c r="E25" s="3" t="str">
        <f ca="1">IFERROR(__xludf.DUMMYFUNCTION("GOOGLETRANSLATE($A25,""en"",""es"")"),"Oncología")</f>
        <v>Oncología</v>
      </c>
      <c r="F25" s="3" t="str">
        <f ca="1">IFERROR(__xludf.DUMMYFUNCTION("GOOGLETRANSLATE($A25,""en"",""it"")"),"Oncologia")</f>
        <v>Oncologia</v>
      </c>
      <c r="G25" s="3" t="str">
        <f ca="1">IFERROR(__xludf.DUMMYFUNCTION("GOOGLETRANSLATE($A25,""en"",""zh-cn"")"),"肿瘤学")</f>
        <v>肿瘤学</v>
      </c>
      <c r="H25" s="3" t="str">
        <f ca="1">IFERROR(__xludf.DUMMYFUNCTION("GOOGLETRANSLATE($A25,""en"",""ja"")"),"腫瘍学")</f>
        <v>腫瘍学</v>
      </c>
      <c r="I25" s="3" t="str">
        <f ca="1">IFERROR(__xludf.DUMMYFUNCTION("GOOGLETRANSLATE($A25,""en"",""ko"")"),"종양학")</f>
        <v>종양학</v>
      </c>
      <c r="J25" s="3" t="str">
        <f ca="1">IFERROR(__xludf.DUMMYFUNCTION("GOOGLETRANSLATE($A25,""en"",""pt-BR"")"),"Oncologia")</f>
        <v>Oncologia</v>
      </c>
    </row>
    <row r="26" spans="1:10" ht="15.75" customHeight="1" x14ac:dyDescent="0.15">
      <c r="A26" s="11" t="str">
        <f ca="1">IFERROR(__xludf.DUMMYFUNCTION("""COMPUTED_VALUE"""),"Ophthalmology")</f>
        <v>Ophthalmology</v>
      </c>
      <c r="B26" s="9" t="str">
        <f ca="1">IFERROR(__xludf.DUMMYFUNCTION("""COMPUTED_VALUE"""),"OH")</f>
        <v>OH</v>
      </c>
      <c r="C26" s="3" t="str">
        <f ca="1">IFERROR(__xludf.DUMMYFUNCTION("GOOGLETRANSLATE($A26,""en"",""de"")"),"Augenheilkunde")</f>
        <v>Augenheilkunde</v>
      </c>
      <c r="D26" s="3" t="str">
        <f ca="1">IFERROR(__xludf.DUMMYFUNCTION("GOOGLETRANSLATE($A26,""en"",""fr"")"),"Ophtalmologie")</f>
        <v>Ophtalmologie</v>
      </c>
      <c r="E26" s="3" t="str">
        <f ca="1">IFERROR(__xludf.DUMMYFUNCTION("GOOGLETRANSLATE($A26,""en"",""es"")"),"Oftalmología")</f>
        <v>Oftalmología</v>
      </c>
      <c r="F26" s="3" t="str">
        <f ca="1">IFERROR(__xludf.DUMMYFUNCTION("GOOGLETRANSLATE($A26,""en"",""it"")"),"Oftalmologia")</f>
        <v>Oftalmologia</v>
      </c>
      <c r="G26" s="3" t="str">
        <f ca="1">IFERROR(__xludf.DUMMYFUNCTION("GOOGLETRANSLATE($A26,""en"",""zh-cn"")"),"眼科")</f>
        <v>眼科</v>
      </c>
      <c r="H26" s="3" t="str">
        <f ca="1">IFERROR(__xludf.DUMMYFUNCTION("GOOGLETRANSLATE($A26,""en"",""ja"")"),"眼科")</f>
        <v>眼科</v>
      </c>
      <c r="I26" s="3" t="str">
        <f ca="1">IFERROR(__xludf.DUMMYFUNCTION("GOOGLETRANSLATE($A26,""en"",""ko"")"),"안과학")</f>
        <v>안과학</v>
      </c>
      <c r="J26" s="3" t="str">
        <f ca="1">IFERROR(__xludf.DUMMYFUNCTION("GOOGLETRANSLATE($A26,""en"",""pt-BR"")"),"Oftalmologia")</f>
        <v>Oftalmologia</v>
      </c>
    </row>
    <row r="27" spans="1:10" ht="15.75" customHeight="1" x14ac:dyDescent="0.15">
      <c r="A27" s="9" t="str">
        <f ca="1">IFERROR(__xludf.DUMMYFUNCTION("""COMPUTED_VALUE"""),"Otolaryngology")</f>
        <v>Otolaryngology</v>
      </c>
      <c r="B27" s="9" t="str">
        <f ca="1">IFERROR(__xludf.DUMMYFUNCTION("""COMPUTED_VALUE"""),"OT")</f>
        <v>OT</v>
      </c>
      <c r="C27" s="3" t="str">
        <f ca="1">IFERROR(__xludf.DUMMYFUNCTION("GOOGLETRANSLATE($A27,""en"",""de"")"),"HNO-Heilkunde")</f>
        <v>HNO-Heilkunde</v>
      </c>
      <c r="D27" s="3" t="str">
        <f ca="1">IFERROR(__xludf.DUMMYFUNCTION("GOOGLETRANSLATE($A27,""en"",""fr"")"),"Otolaryngologie")</f>
        <v>Otolaryngologie</v>
      </c>
      <c r="E27" s="3" t="str">
        <f ca="1">IFERROR(__xludf.DUMMYFUNCTION("GOOGLETRANSLATE($A27,""en"",""es"")"),"Otorrinolaringología")</f>
        <v>Otorrinolaringología</v>
      </c>
      <c r="F27" s="3" t="str">
        <f ca="1">IFERROR(__xludf.DUMMYFUNCTION("GOOGLETRANSLATE($A27,""en"",""it"")"),"Otorinolaringoiatria")</f>
        <v>Otorinolaringoiatria</v>
      </c>
      <c r="G27" s="3" t="str">
        <f ca="1">IFERROR(__xludf.DUMMYFUNCTION("GOOGLETRANSLATE($A27,""en"",""zh-cn"")"),"耳鼻喉科")</f>
        <v>耳鼻喉科</v>
      </c>
      <c r="H27" s="3" t="str">
        <f ca="1">IFERROR(__xludf.DUMMYFUNCTION("GOOGLETRANSLATE($A27,""en"",""ja"")"),"耳鼻科")</f>
        <v>耳鼻科</v>
      </c>
      <c r="I27" s="3" t="str">
        <f ca="1">IFERROR(__xludf.DUMMYFUNCTION("GOOGLETRANSLATE($A27,""en"",""ko"")"),"이비인후과")</f>
        <v>이비인후과</v>
      </c>
      <c r="J27" s="3" t="str">
        <f ca="1">IFERROR(__xludf.DUMMYFUNCTION("GOOGLETRANSLATE($A27,""en"",""pt-BR"")"),"Otorrinolaringologia")</f>
        <v>Otorrinolaringologia</v>
      </c>
    </row>
    <row r="28" spans="1:10" ht="15.75" customHeight="1" x14ac:dyDescent="0.15">
      <c r="A28" s="10" t="str">
        <f ca="1">IFERROR(__xludf.DUMMYFUNCTION("""COMPUTED_VALUE"""),"Pain Medicine")</f>
        <v>Pain Medicine</v>
      </c>
      <c r="B28" s="9" t="str">
        <f ca="1">IFERROR(__xludf.DUMMYFUNCTION("""COMPUTED_VALUE"""),"PN")</f>
        <v>PN</v>
      </c>
      <c r="C28" s="3" t="str">
        <f ca="1">IFERROR(__xludf.DUMMYFUNCTION("GOOGLETRANSLATE($A28,""en"",""de"")"),"Schmerzmittel")</f>
        <v>Schmerzmittel</v>
      </c>
      <c r="D28" s="3" t="str">
        <f ca="1">IFERROR(__xludf.DUMMYFUNCTION("GOOGLETRANSLATE($A28,""en"",""fr"")"),"Médicament contre la douleur")</f>
        <v>Médicament contre la douleur</v>
      </c>
      <c r="E28" s="3" t="str">
        <f ca="1">IFERROR(__xludf.DUMMYFUNCTION("GOOGLETRANSLATE($A28,""en"",""es"")"),"Medicina para el dolor")</f>
        <v>Medicina para el dolor</v>
      </c>
      <c r="F28" s="3" t="str">
        <f ca="1">IFERROR(__xludf.DUMMYFUNCTION("GOOGLETRANSLATE($A28,""en"",""it"")"),"Medicina del dolore")</f>
        <v>Medicina del dolore</v>
      </c>
      <c r="G28" s="3" t="str">
        <f ca="1">IFERROR(__xludf.DUMMYFUNCTION("GOOGLETRANSLATE($A28,""en"",""zh-cn"")"),"止痛药")</f>
        <v>止痛药</v>
      </c>
      <c r="H28" s="3" t="str">
        <f ca="1">IFERROR(__xludf.DUMMYFUNCTION("GOOGLETRANSLATE($A28,""en"",""ja"")"),"鎮痛剤")</f>
        <v>鎮痛剤</v>
      </c>
      <c r="I28" s="3" t="str">
        <f ca="1">IFERROR(__xludf.DUMMYFUNCTION("GOOGLETRANSLATE($A28,""en"",""ko"")"),"통증의학")</f>
        <v>통증의학</v>
      </c>
      <c r="J28" s="3" t="str">
        <f ca="1">IFERROR(__xludf.DUMMYFUNCTION("GOOGLETRANSLATE($A28,""en"",""pt-BR"")"),"Analgésico")</f>
        <v>Analgésico</v>
      </c>
    </row>
    <row r="29" spans="1:10" ht="15.75" customHeight="1" x14ac:dyDescent="0.15">
      <c r="A29" s="10" t="str">
        <f ca="1">IFERROR(__xludf.DUMMYFUNCTION("""COMPUTED_VALUE"""),"Palliative Medicine")</f>
        <v>Palliative Medicine</v>
      </c>
      <c r="B29" s="9" t="str">
        <f ca="1">IFERROR(__xludf.DUMMYFUNCTION("""COMPUTED_VALUE"""),"PV")</f>
        <v>PV</v>
      </c>
      <c r="C29" s="3" t="str">
        <f ca="1">IFERROR(__xludf.DUMMYFUNCTION("GOOGLETRANSLATE($A29,""en"",""de"")"),"Palliativmedizin")</f>
        <v>Palliativmedizin</v>
      </c>
      <c r="D29" s="3" t="str">
        <f ca="1">IFERROR(__xludf.DUMMYFUNCTION("GOOGLETRANSLATE($A29,""en"",""fr"")"),"Médecine palliative")</f>
        <v>Médecine palliative</v>
      </c>
      <c r="E29" s="3" t="str">
        <f ca="1">IFERROR(__xludf.DUMMYFUNCTION("GOOGLETRANSLATE($A29,""en"",""es"")"),"Medicina paliativa")</f>
        <v>Medicina paliativa</v>
      </c>
      <c r="F29" s="3" t="str">
        <f ca="1">IFERROR(__xludf.DUMMYFUNCTION("GOOGLETRANSLATE($A29,""en"",""it"")"),"Medicina palliativa")</f>
        <v>Medicina palliativa</v>
      </c>
      <c r="G29" s="3" t="str">
        <f ca="1">IFERROR(__xludf.DUMMYFUNCTION("GOOGLETRANSLATE($A29,""en"",""zh-cn"")"),"姑息医学")</f>
        <v>姑息医学</v>
      </c>
      <c r="H29" s="3" t="str">
        <f ca="1">IFERROR(__xludf.DUMMYFUNCTION("GOOGLETRANSLATE($A29,""en"",""ja"")"),"緩和医療")</f>
        <v>緩和医療</v>
      </c>
      <c r="I29" s="3" t="str">
        <f ca="1">IFERROR(__xludf.DUMMYFUNCTION("GOOGLETRANSLATE($A29,""en"",""ko"")"),"완화의학")</f>
        <v>완화의학</v>
      </c>
      <c r="J29" s="3" t="str">
        <f ca="1">IFERROR(__xludf.DUMMYFUNCTION("GOOGLETRANSLATE($A29,""en"",""pt-BR"")"),"Medicina Paliativa")</f>
        <v>Medicina Paliativa</v>
      </c>
    </row>
    <row r="30" spans="1:10" ht="15.75" customHeight="1" x14ac:dyDescent="0.15">
      <c r="A30" s="10" t="str">
        <f ca="1">IFERROR(__xludf.DUMMYFUNCTION("""COMPUTED_VALUE"""),"Pathology")</f>
        <v>Pathology</v>
      </c>
      <c r="B30" s="9" t="str">
        <f ca="1">IFERROR(__xludf.DUMMYFUNCTION("""COMPUTED_VALUE"""),"PT")</f>
        <v>PT</v>
      </c>
      <c r="C30" s="3" t="str">
        <f ca="1">IFERROR(__xludf.DUMMYFUNCTION("GOOGLETRANSLATE($A30,""en"",""de"")"),"Pathologie")</f>
        <v>Pathologie</v>
      </c>
      <c r="D30" s="3" t="str">
        <f ca="1">IFERROR(__xludf.DUMMYFUNCTION("GOOGLETRANSLATE($A30,""en"",""fr"")"),"Pathologie")</f>
        <v>Pathologie</v>
      </c>
      <c r="E30" s="3" t="str">
        <f ca="1">IFERROR(__xludf.DUMMYFUNCTION("GOOGLETRANSLATE($A30,""en"",""es"")"),"Patología")</f>
        <v>Patología</v>
      </c>
      <c r="F30" s="3" t="str">
        <f ca="1">IFERROR(__xludf.DUMMYFUNCTION("GOOGLETRANSLATE($A30,""en"",""it"")"),"Patologia")</f>
        <v>Patologia</v>
      </c>
      <c r="G30" s="3" t="str">
        <f ca="1">IFERROR(__xludf.DUMMYFUNCTION("GOOGLETRANSLATE($A30,""en"",""zh-cn"")"),"病理")</f>
        <v>病理</v>
      </c>
      <c r="H30" s="3" t="str">
        <f ca="1">IFERROR(__xludf.DUMMYFUNCTION("GOOGLETRANSLATE($A30,""en"",""ja"")"),"病理学")</f>
        <v>病理学</v>
      </c>
      <c r="I30" s="3" t="str">
        <f ca="1">IFERROR(__xludf.DUMMYFUNCTION("GOOGLETRANSLATE($A30,""en"",""ko"")"),"병리학")</f>
        <v>병리학</v>
      </c>
      <c r="J30" s="3" t="str">
        <f ca="1">IFERROR(__xludf.DUMMYFUNCTION("GOOGLETRANSLATE($A30,""en"",""pt-BR"")"),"Patologia")</f>
        <v>Patologia</v>
      </c>
    </row>
    <row r="31" spans="1:10" ht="15.75" customHeight="1" x14ac:dyDescent="0.15">
      <c r="A31" s="10" t="str">
        <f ca="1">IFERROR(__xludf.DUMMYFUNCTION("""COMPUTED_VALUE"""),"Pediatrics")</f>
        <v>Pediatrics</v>
      </c>
      <c r="B31" s="9" t="str">
        <f ca="1">IFERROR(__xludf.DUMMYFUNCTION("""COMPUTED_VALUE"""),"PD")</f>
        <v>PD</v>
      </c>
      <c r="C31" s="3" t="str">
        <f ca="1">IFERROR(__xludf.DUMMYFUNCTION("GOOGLETRANSLATE($A31,""en"",""de"")"),"Pädiatrie")</f>
        <v>Pädiatrie</v>
      </c>
      <c r="D31" s="3" t="str">
        <f ca="1">IFERROR(__xludf.DUMMYFUNCTION("GOOGLETRANSLATE($A31,""en"",""fr"")"),"Pédiatrie")</f>
        <v>Pédiatrie</v>
      </c>
      <c r="E31" s="3" t="str">
        <f ca="1">IFERROR(__xludf.DUMMYFUNCTION("GOOGLETRANSLATE($A31,""en"",""es"")"),"Pediatría")</f>
        <v>Pediatría</v>
      </c>
      <c r="F31" s="3" t="str">
        <f ca="1">IFERROR(__xludf.DUMMYFUNCTION("GOOGLETRANSLATE($A31,""en"",""it"")"),"Pediatria")</f>
        <v>Pediatria</v>
      </c>
      <c r="G31" s="3" t="str">
        <f ca="1">IFERROR(__xludf.DUMMYFUNCTION("GOOGLETRANSLATE($A31,""en"",""zh-cn"")"),"儿科")</f>
        <v>儿科</v>
      </c>
      <c r="H31" s="3" t="str">
        <f ca="1">IFERROR(__xludf.DUMMYFUNCTION("GOOGLETRANSLATE($A31,""en"",""ja"")"),"小児科")</f>
        <v>小児科</v>
      </c>
      <c r="I31" s="3" t="str">
        <f ca="1">IFERROR(__xludf.DUMMYFUNCTION("GOOGLETRANSLATE($A31,""en"",""ko"")"),"소아과")</f>
        <v>소아과</v>
      </c>
      <c r="J31" s="3" t="str">
        <f ca="1">IFERROR(__xludf.DUMMYFUNCTION("GOOGLETRANSLATE($A31,""en"",""pt-BR"")"),"Pediatria")</f>
        <v>Pediatria</v>
      </c>
    </row>
    <row r="32" spans="1:10" ht="15.75" customHeight="1" x14ac:dyDescent="0.15">
      <c r="A32" s="9" t="str">
        <f ca="1">IFERROR(__xludf.DUMMYFUNCTION("""COMPUTED_VALUE"""),"Pharmacology")</f>
        <v>Pharmacology</v>
      </c>
      <c r="B32" s="9" t="str">
        <f ca="1">IFERROR(__xludf.DUMMYFUNCTION("""COMPUTED_VALUE"""),"PH")</f>
        <v>PH</v>
      </c>
      <c r="C32" s="3" t="str">
        <f ca="1">IFERROR(__xludf.DUMMYFUNCTION("GOOGLETRANSLATE($A32,""en"",""de"")"),"Pharmakologie")</f>
        <v>Pharmakologie</v>
      </c>
      <c r="D32" s="3" t="str">
        <f ca="1">IFERROR(__xludf.DUMMYFUNCTION("GOOGLETRANSLATE($A32,""en"",""fr"")"),"Pharmacologie")</f>
        <v>Pharmacologie</v>
      </c>
      <c r="E32" s="3" t="str">
        <f ca="1">IFERROR(__xludf.DUMMYFUNCTION("GOOGLETRANSLATE($A32,""en"",""es"")"),"Farmacología")</f>
        <v>Farmacología</v>
      </c>
      <c r="F32" s="3" t="str">
        <f ca="1">IFERROR(__xludf.DUMMYFUNCTION("GOOGLETRANSLATE($A32,""en"",""it"")"),"Farmacologia")</f>
        <v>Farmacologia</v>
      </c>
      <c r="G32" s="3" t="str">
        <f ca="1">IFERROR(__xludf.DUMMYFUNCTION("GOOGLETRANSLATE($A32,""en"",""zh-cn"")"),"药理")</f>
        <v>药理</v>
      </c>
      <c r="H32" s="3" t="str">
        <f ca="1">IFERROR(__xludf.DUMMYFUNCTION("GOOGLETRANSLATE($A32,""en"",""ja"")"),"薬理学")</f>
        <v>薬理学</v>
      </c>
      <c r="I32" s="3" t="str">
        <f ca="1">IFERROR(__xludf.DUMMYFUNCTION("GOOGLETRANSLATE($A32,""en"",""ko"")"),"약리학")</f>
        <v>약리학</v>
      </c>
      <c r="J32" s="3" t="str">
        <f ca="1">IFERROR(__xludf.DUMMYFUNCTION("GOOGLETRANSLATE($A32,""en"",""pt-BR"")"),"Farmacologia")</f>
        <v>Farmacologia</v>
      </c>
    </row>
    <row r="33" spans="1:10" ht="15.75" customHeight="1" x14ac:dyDescent="0.15">
      <c r="A33" s="9" t="str">
        <f ca="1">IFERROR(__xludf.DUMMYFUNCTION("""COMPUTED_VALUE"""),"Pharmacy Specialty")</f>
        <v>Pharmacy Specialty</v>
      </c>
      <c r="B33" s="9" t="str">
        <f ca="1">IFERROR(__xludf.DUMMYFUNCTION("""COMPUTED_VALUE"""),"PC")</f>
        <v>PC</v>
      </c>
      <c r="C33" s="3" t="str">
        <f ca="1">IFERROR(__xludf.DUMMYFUNCTION("GOOGLETRANSLATE($A33,""en"",""de"")"),"Spezialgebiet der Apotheke")</f>
        <v>Spezialgebiet der Apotheke</v>
      </c>
      <c r="D33" s="3" t="str">
        <f ca="1">IFERROR(__xludf.DUMMYFUNCTION("GOOGLETRANSLATE($A33,""en"",""fr"")"),"Spécialité Pharmacie")</f>
        <v>Spécialité Pharmacie</v>
      </c>
      <c r="E33" s="3" t="str">
        <f ca="1">IFERROR(__xludf.DUMMYFUNCTION("GOOGLETRANSLATE($A33,""en"",""es"")"),"Especialidad de Farmacia")</f>
        <v>Especialidad de Farmacia</v>
      </c>
      <c r="F33" s="3" t="str">
        <f ca="1">IFERROR(__xludf.DUMMYFUNCTION("GOOGLETRANSLATE($A33,""en"",""it"")"),"Specialità della farmacia")</f>
        <v>Specialità della farmacia</v>
      </c>
      <c r="G33" s="3" t="str">
        <f ca="1">IFERROR(__xludf.DUMMYFUNCTION("GOOGLETRANSLATE($A33,""en"",""zh-cn"")"),"药学专业")</f>
        <v>药学专业</v>
      </c>
      <c r="H33" s="3" t="str">
        <f ca="1">IFERROR(__xludf.DUMMYFUNCTION("GOOGLETRANSLATE($A33,""en"",""ja"")"),"薬局専門")</f>
        <v>薬局専門</v>
      </c>
      <c r="I33" s="3" t="str">
        <f ca="1">IFERROR(__xludf.DUMMYFUNCTION("GOOGLETRANSLATE($A33,""en"",""ko"")"),"약국 전문")</f>
        <v>약국 전문</v>
      </c>
      <c r="J33" s="3" t="str">
        <f ca="1">IFERROR(__xludf.DUMMYFUNCTION("GOOGLETRANSLATE($A33,""en"",""pt-BR"")"),"Especialidade em Farmácia")</f>
        <v>Especialidade em Farmácia</v>
      </c>
    </row>
    <row r="34" spans="1:10" ht="15.75" customHeight="1" x14ac:dyDescent="0.15">
      <c r="A34" s="10" t="str">
        <f ca="1">IFERROR(__xludf.DUMMYFUNCTION("""COMPUTED_VALUE"""),"Preventive Medicine")</f>
        <v>Preventive Medicine</v>
      </c>
      <c r="B34" s="9" t="str">
        <f ca="1">IFERROR(__xludf.DUMMYFUNCTION("""COMPUTED_VALUE"""),"PM")</f>
        <v>PM</v>
      </c>
      <c r="C34" s="3" t="str">
        <f ca="1">IFERROR(__xludf.DUMMYFUNCTION("GOOGLETRANSLATE($A34,""en"",""de"")"),"Präventivmedizin")</f>
        <v>Präventivmedizin</v>
      </c>
      <c r="D34" s="3" t="str">
        <f ca="1">IFERROR(__xludf.DUMMYFUNCTION("GOOGLETRANSLATE($A34,""en"",""fr"")"),"Médecine préventive")</f>
        <v>Médecine préventive</v>
      </c>
      <c r="E34" s="3" t="str">
        <f ca="1">IFERROR(__xludf.DUMMYFUNCTION("GOOGLETRANSLATE($A34,""en"",""es"")"),"Medicina Preventiva")</f>
        <v>Medicina Preventiva</v>
      </c>
      <c r="F34" s="3" t="str">
        <f ca="1">IFERROR(__xludf.DUMMYFUNCTION("GOOGLETRANSLATE($A34,""en"",""it"")"),"Medicina preventiva")</f>
        <v>Medicina preventiva</v>
      </c>
      <c r="G34" s="3" t="str">
        <f ca="1">IFERROR(__xludf.DUMMYFUNCTION("GOOGLETRANSLATE($A34,""en"",""zh-cn"")"),"预防医学")</f>
        <v>预防医学</v>
      </c>
      <c r="H34" s="3" t="str">
        <f ca="1">IFERROR(__xludf.DUMMYFUNCTION("GOOGLETRANSLATE($A34,""en"",""ja"")"),"予防医学")</f>
        <v>予防医学</v>
      </c>
      <c r="I34" s="3" t="str">
        <f ca="1">IFERROR(__xludf.DUMMYFUNCTION("GOOGLETRANSLATE($A34,""en"",""ko"")"),"예방 약품")</f>
        <v>예방 약품</v>
      </c>
      <c r="J34" s="3" t="str">
        <f ca="1">IFERROR(__xludf.DUMMYFUNCTION("GOOGLETRANSLATE($A34,""en"",""pt-BR"")"),"Medicina preventiva")</f>
        <v>Medicina preventiva</v>
      </c>
    </row>
    <row r="35" spans="1:10" ht="15.75" customHeight="1" x14ac:dyDescent="0.15">
      <c r="A35" s="10" t="str">
        <f ca="1">IFERROR(__xludf.DUMMYFUNCTION("""COMPUTED_VALUE"""),"Psychiatry")</f>
        <v>Psychiatry</v>
      </c>
      <c r="B35" s="9" t="str">
        <f ca="1">IFERROR(__xludf.DUMMYFUNCTION("""COMPUTED_VALUE"""),"PY")</f>
        <v>PY</v>
      </c>
      <c r="C35" s="3" t="str">
        <f ca="1">IFERROR(__xludf.DUMMYFUNCTION("GOOGLETRANSLATE($A35,""en"",""de"")"),"Psychiatrie")</f>
        <v>Psychiatrie</v>
      </c>
      <c r="D35" s="3" t="str">
        <f ca="1">IFERROR(__xludf.DUMMYFUNCTION("GOOGLETRANSLATE($A35,""en"",""fr"")"),"Psychiatrie")</f>
        <v>Psychiatrie</v>
      </c>
      <c r="E35" s="3" t="str">
        <f ca="1">IFERROR(__xludf.DUMMYFUNCTION("GOOGLETRANSLATE($A35,""en"",""es"")"),"Psiquiatría")</f>
        <v>Psiquiatría</v>
      </c>
      <c r="F35" s="3" t="str">
        <f ca="1">IFERROR(__xludf.DUMMYFUNCTION("GOOGLETRANSLATE($A35,""en"",""it"")"),"Psichiatria")</f>
        <v>Psichiatria</v>
      </c>
      <c r="G35" s="3" t="str">
        <f ca="1">IFERROR(__xludf.DUMMYFUNCTION("GOOGLETRANSLATE($A35,""en"",""zh-cn"")"),"精神病学")</f>
        <v>精神病学</v>
      </c>
      <c r="H35" s="3" t="str">
        <f ca="1">IFERROR(__xludf.DUMMYFUNCTION("GOOGLETRANSLATE($A35,""en"",""ja"")"),"精神科")</f>
        <v>精神科</v>
      </c>
      <c r="I35" s="3" t="str">
        <f ca="1">IFERROR(__xludf.DUMMYFUNCTION("GOOGLETRANSLATE($A35,""en"",""ko"")"),"정신과")</f>
        <v>정신과</v>
      </c>
      <c r="J35" s="3" t="str">
        <f ca="1">IFERROR(__xludf.DUMMYFUNCTION("GOOGLETRANSLATE($A35,""en"",""pt-BR"")"),"Psiquiatria")</f>
        <v>Psiquiatria</v>
      </c>
    </row>
    <row r="36" spans="1:10" ht="15.75" customHeight="1" x14ac:dyDescent="0.15">
      <c r="A36" s="10" t="str">
        <f ca="1">IFERROR(__xludf.DUMMYFUNCTION("""COMPUTED_VALUE"""),"Pulmonology")</f>
        <v>Pulmonology</v>
      </c>
      <c r="B36" s="9" t="str">
        <f ca="1">IFERROR(__xludf.DUMMYFUNCTION("""COMPUTED_VALUE"""),"PL")</f>
        <v>PL</v>
      </c>
      <c r="C36" s="3" t="str">
        <f ca="1">IFERROR(__xludf.DUMMYFUNCTION("GOOGLETRANSLATE($A36,""en"",""de"")"),"Pulmologie")</f>
        <v>Pulmologie</v>
      </c>
      <c r="D36" s="3" t="str">
        <f ca="1">IFERROR(__xludf.DUMMYFUNCTION("GOOGLETRANSLATE($A36,""en"",""fr"")"),"Pneumologie")</f>
        <v>Pneumologie</v>
      </c>
      <c r="E36" s="3" t="str">
        <f ca="1">IFERROR(__xludf.DUMMYFUNCTION("GOOGLETRANSLATE($A36,""en"",""es"")"),"Neumología")</f>
        <v>Neumología</v>
      </c>
      <c r="F36" s="3" t="str">
        <f ca="1">IFERROR(__xludf.DUMMYFUNCTION("GOOGLETRANSLATE($A36,""en"",""it"")"),"Pneumologia")</f>
        <v>Pneumologia</v>
      </c>
      <c r="G36" s="3" t="str">
        <f ca="1">IFERROR(__xludf.DUMMYFUNCTION("GOOGLETRANSLATE($A36,""en"",""zh-cn"")"),"肺科")</f>
        <v>肺科</v>
      </c>
      <c r="H36" s="3" t="str">
        <f ca="1">IFERROR(__xludf.DUMMYFUNCTION("GOOGLETRANSLATE($A36,""en"",""ja"")"),"呼吸器科")</f>
        <v>呼吸器科</v>
      </c>
      <c r="I36" s="3" t="str">
        <f ca="1">IFERROR(__xludf.DUMMYFUNCTION("GOOGLETRANSLATE($A36,""en"",""ko"")"),"호흡기내과")</f>
        <v>호흡기내과</v>
      </c>
      <c r="J36" s="3" t="str">
        <f ca="1">IFERROR(__xludf.DUMMYFUNCTION("GOOGLETRANSLATE($A36,""en"",""pt-BR"")"),"Pneumologia")</f>
        <v>Pneumologia</v>
      </c>
    </row>
    <row r="37" spans="1:10" ht="15.75" customHeight="1" x14ac:dyDescent="0.15">
      <c r="A37" s="11" t="str">
        <f ca="1">IFERROR(__xludf.DUMMYFUNCTION("""COMPUTED_VALUE"""),"Radiology")</f>
        <v>Radiology</v>
      </c>
      <c r="B37" s="9" t="str">
        <f ca="1">IFERROR(__xludf.DUMMYFUNCTION("""COMPUTED_VALUE"""),"RY")</f>
        <v>RY</v>
      </c>
      <c r="C37" s="3" t="str">
        <f ca="1">IFERROR(__xludf.DUMMYFUNCTION("GOOGLETRANSLATE($A37,""en"",""de"")"),"Radiologie")</f>
        <v>Radiologie</v>
      </c>
      <c r="D37" s="3" t="str">
        <f ca="1">IFERROR(__xludf.DUMMYFUNCTION("GOOGLETRANSLATE($A37,""en"",""fr"")"),"Radiologie")</f>
        <v>Radiologie</v>
      </c>
      <c r="E37" s="3" t="str">
        <f ca="1">IFERROR(__xludf.DUMMYFUNCTION("GOOGLETRANSLATE($A37,""en"",""es"")"),"Radiología")</f>
        <v>Radiología</v>
      </c>
      <c r="F37" s="3" t="str">
        <f ca="1">IFERROR(__xludf.DUMMYFUNCTION("GOOGLETRANSLATE($A37,""en"",""it"")"),"Radiologia")</f>
        <v>Radiologia</v>
      </c>
      <c r="G37" s="3" t="str">
        <f ca="1">IFERROR(__xludf.DUMMYFUNCTION("GOOGLETRANSLATE($A37,""en"",""zh-cn"")"),"放射科")</f>
        <v>放射科</v>
      </c>
      <c r="H37" s="3" t="str">
        <f ca="1">IFERROR(__xludf.DUMMYFUNCTION("GOOGLETRANSLATE($A37,""en"",""ja"")"),"放射線科")</f>
        <v>放射線科</v>
      </c>
      <c r="I37" s="3" t="str">
        <f ca="1">IFERROR(__xludf.DUMMYFUNCTION("GOOGLETRANSLATE($A37,""en"",""ko"")"),"방사선과")</f>
        <v>방사선과</v>
      </c>
      <c r="J37" s="3" t="str">
        <f ca="1">IFERROR(__xludf.DUMMYFUNCTION("GOOGLETRANSLATE($A37,""en"",""pt-BR"")"),"Radiologia")</f>
        <v>Radiologia</v>
      </c>
    </row>
    <row r="38" spans="1:10" ht="15.75" customHeight="1" x14ac:dyDescent="0.15">
      <c r="A38" s="9" t="str">
        <f ca="1">IFERROR(__xludf.DUMMYFUNCTION("""COMPUTED_VALUE"""),"Rehabilitation Medicine")</f>
        <v>Rehabilitation Medicine</v>
      </c>
      <c r="B38" s="9" t="str">
        <f ca="1">IFERROR(__xludf.DUMMYFUNCTION("""COMPUTED_VALUE"""),"RM")</f>
        <v>RM</v>
      </c>
      <c r="C38" s="3" t="str">
        <f ca="1">IFERROR(__xludf.DUMMYFUNCTION("GOOGLETRANSLATE($A38,""en"",""de"")"),"Rehabilitationsmedizin")</f>
        <v>Rehabilitationsmedizin</v>
      </c>
      <c r="D38" s="3" t="str">
        <f ca="1">IFERROR(__xludf.DUMMYFUNCTION("GOOGLETRANSLATE($A38,""en"",""fr"")"),"Médecine de réadaptation")</f>
        <v>Médecine de réadaptation</v>
      </c>
      <c r="E38" s="3" t="str">
        <f ca="1">IFERROR(__xludf.DUMMYFUNCTION("GOOGLETRANSLATE($A38,""en"",""es"")"),"Medicina de rehabilitación")</f>
        <v>Medicina de rehabilitación</v>
      </c>
      <c r="F38" s="3" t="str">
        <f ca="1">IFERROR(__xludf.DUMMYFUNCTION("GOOGLETRANSLATE($A38,""en"",""it"")"),"Medicina riabilitativa")</f>
        <v>Medicina riabilitativa</v>
      </c>
      <c r="G38" s="3" t="str">
        <f ca="1">IFERROR(__xludf.DUMMYFUNCTION("GOOGLETRANSLATE($A38,""en"",""zh-cn"")"),"康复医学")</f>
        <v>康复医学</v>
      </c>
      <c r="H38" s="3" t="str">
        <f ca="1">IFERROR(__xludf.DUMMYFUNCTION("GOOGLETRANSLATE($A38,""en"",""ja"")"),"リハビリテーション医学")</f>
        <v>リハビリテーション医学</v>
      </c>
      <c r="I38" s="3" t="str">
        <f ca="1">IFERROR(__xludf.DUMMYFUNCTION("GOOGLETRANSLATE($A38,""en"",""ko"")"),"재활의학")</f>
        <v>재활의학</v>
      </c>
      <c r="J38" s="3" t="str">
        <f ca="1">IFERROR(__xludf.DUMMYFUNCTION("GOOGLETRANSLATE($A38,""en"",""pt-BR"")"),"Medicina de Reabilitação")</f>
        <v>Medicina de Reabilitação</v>
      </c>
    </row>
    <row r="39" spans="1:10" ht="15.75" customHeight="1" x14ac:dyDescent="0.15">
      <c r="A39" s="9" t="str">
        <f ca="1">IFERROR(__xludf.DUMMYFUNCTION("""COMPUTED_VALUE"""),"Reproductive Medicine")</f>
        <v>Reproductive Medicine</v>
      </c>
      <c r="B39" s="9" t="str">
        <f ca="1">IFERROR(__xludf.DUMMYFUNCTION("""COMPUTED_VALUE"""),"RP")</f>
        <v>RP</v>
      </c>
      <c r="C39" s="3" t="str">
        <f ca="1">IFERROR(__xludf.DUMMYFUNCTION("GOOGLETRANSLATE($A39,""en"",""de"")"),"Reproduktionsmedizin")</f>
        <v>Reproduktionsmedizin</v>
      </c>
      <c r="D39" s="3" t="str">
        <f ca="1">IFERROR(__xludf.DUMMYFUNCTION("GOOGLETRANSLATE($A39,""en"",""fr"")"),"Médecine reproductive")</f>
        <v>Médecine reproductive</v>
      </c>
      <c r="E39" s="3" t="str">
        <f ca="1">IFERROR(__xludf.DUMMYFUNCTION("GOOGLETRANSLATE($A39,""en"",""es"")"),"Medicina Reproductiva")</f>
        <v>Medicina Reproductiva</v>
      </c>
      <c r="F39" s="3" t="str">
        <f ca="1">IFERROR(__xludf.DUMMYFUNCTION("GOOGLETRANSLATE($A39,""en"",""it"")"),"Medicina riproduttiva")</f>
        <v>Medicina riproduttiva</v>
      </c>
      <c r="G39" s="3" t="str">
        <f ca="1">IFERROR(__xludf.DUMMYFUNCTION("GOOGLETRANSLATE($A39,""en"",""zh-cn"")"),"生殖医学")</f>
        <v>生殖医学</v>
      </c>
      <c r="H39" s="3" t="str">
        <f ca="1">IFERROR(__xludf.DUMMYFUNCTION("GOOGLETRANSLATE($A39,""en"",""ja"")"),"生殖医療")</f>
        <v>生殖医療</v>
      </c>
      <c r="I39" s="3" t="str">
        <f ca="1">IFERROR(__xludf.DUMMYFUNCTION("GOOGLETRANSLATE($A39,""en"",""ko"")"),"생식의학")</f>
        <v>생식의학</v>
      </c>
      <c r="J39" s="3" t="str">
        <f ca="1">IFERROR(__xludf.DUMMYFUNCTION("GOOGLETRANSLATE($A39,""en"",""pt-BR"")"),"Medicina Reprodutiva")</f>
        <v>Medicina Reprodutiva</v>
      </c>
    </row>
    <row r="40" spans="1:10" ht="15.75" customHeight="1" x14ac:dyDescent="0.15">
      <c r="A40" s="10" t="str">
        <f ca="1">IFERROR(__xludf.DUMMYFUNCTION("""COMPUTED_VALUE"""),"Research and Development")</f>
        <v>Research and Development</v>
      </c>
      <c r="B40" s="9" t="str">
        <f ca="1">IFERROR(__xludf.DUMMYFUNCTION("""COMPUTED_VALUE"""),"RD")</f>
        <v>RD</v>
      </c>
      <c r="C40" s="3" t="str">
        <f ca="1">IFERROR(__xludf.DUMMYFUNCTION("GOOGLETRANSLATE($A40,""en"",""de"")"),"Forschung und Entwicklung")</f>
        <v>Forschung und Entwicklung</v>
      </c>
      <c r="D40" s="3" t="str">
        <f ca="1">IFERROR(__xludf.DUMMYFUNCTION("GOOGLETRANSLATE($A40,""en"",""fr"")"),"Recherche et développement")</f>
        <v>Recherche et développement</v>
      </c>
      <c r="E40" s="3" t="str">
        <f ca="1">IFERROR(__xludf.DUMMYFUNCTION("GOOGLETRANSLATE($A40,""en"",""es"")"),"Investigación y desarrollo")</f>
        <v>Investigación y desarrollo</v>
      </c>
      <c r="F40" s="3" t="str">
        <f ca="1">IFERROR(__xludf.DUMMYFUNCTION("GOOGLETRANSLATE($A40,""en"",""it"")"),"Ricerca e sviluppo")</f>
        <v>Ricerca e sviluppo</v>
      </c>
      <c r="G40" s="3" t="str">
        <f ca="1">IFERROR(__xludf.DUMMYFUNCTION("GOOGLETRANSLATE($A40,""en"",""zh-cn"")"),"研究与开发")</f>
        <v>研究与开发</v>
      </c>
      <c r="H40" s="3" t="str">
        <f ca="1">IFERROR(__xludf.DUMMYFUNCTION("GOOGLETRANSLATE($A40,""en"",""ja"")"),"研究開発")</f>
        <v>研究開発</v>
      </c>
      <c r="I40" s="3" t="str">
        <f ca="1">IFERROR(__xludf.DUMMYFUNCTION("GOOGLETRANSLATE($A40,""en"",""ko"")"),"연구 및 개발")</f>
        <v>연구 및 개발</v>
      </c>
      <c r="J40" s="3" t="str">
        <f ca="1">IFERROR(__xludf.DUMMYFUNCTION("GOOGLETRANSLATE($A40,""en"",""pt-BR"")"),"Pesquisa e desenvolvimento")</f>
        <v>Pesquisa e desenvolvimento</v>
      </c>
    </row>
    <row r="41" spans="1:10" ht="15.75" customHeight="1" x14ac:dyDescent="0.15">
      <c r="A41" s="10" t="str">
        <f ca="1">IFERROR(__xludf.DUMMYFUNCTION("""COMPUTED_VALUE"""),"Rheumatology")</f>
        <v>Rheumatology</v>
      </c>
      <c r="B41" s="9" t="str">
        <f ca="1">IFERROR(__xludf.DUMMYFUNCTION("""COMPUTED_VALUE"""),"RH")</f>
        <v>RH</v>
      </c>
      <c r="C41" s="3" t="str">
        <f ca="1">IFERROR(__xludf.DUMMYFUNCTION("GOOGLETRANSLATE($A41,""en"",""de"")"),"Rheumatologie")</f>
        <v>Rheumatologie</v>
      </c>
      <c r="D41" s="3" t="str">
        <f ca="1">IFERROR(__xludf.DUMMYFUNCTION("GOOGLETRANSLATE($A41,""en"",""fr"")"),"Rhumatologie")</f>
        <v>Rhumatologie</v>
      </c>
      <c r="E41" s="3" t="str">
        <f ca="1">IFERROR(__xludf.DUMMYFUNCTION("GOOGLETRANSLATE($A41,""en"",""es"")"),"Reumatología")</f>
        <v>Reumatología</v>
      </c>
      <c r="F41" s="3" t="str">
        <f ca="1">IFERROR(__xludf.DUMMYFUNCTION("GOOGLETRANSLATE($A41,""en"",""it"")"),"Reumatologia")</f>
        <v>Reumatologia</v>
      </c>
      <c r="G41" s="3" t="str">
        <f ca="1">IFERROR(__xludf.DUMMYFUNCTION("GOOGLETRANSLATE($A41,""en"",""zh-cn"")"),"风湿病学")</f>
        <v>风湿病学</v>
      </c>
      <c r="H41" s="3" t="str">
        <f ca="1">IFERROR(__xludf.DUMMYFUNCTION("GOOGLETRANSLATE($A41,""en"",""ja"")"),"リウマチ科")</f>
        <v>リウマチ科</v>
      </c>
      <c r="I41" s="3" t="str">
        <f ca="1">IFERROR(__xludf.DUMMYFUNCTION("GOOGLETRANSLATE($A41,""en"",""ko"")"),"류마티스학")</f>
        <v>류마티스학</v>
      </c>
      <c r="J41" s="3" t="str">
        <f ca="1">IFERROR(__xludf.DUMMYFUNCTION("GOOGLETRANSLATE($A41,""en"",""pt-BR"")"),"Reumatologia")</f>
        <v>Reumatologia</v>
      </c>
    </row>
    <row r="42" spans="1:10" ht="15.75" customHeight="1" x14ac:dyDescent="0.15">
      <c r="A42" s="10" t="str">
        <f ca="1">IFERROR(__xludf.DUMMYFUNCTION("""COMPUTED_VALUE"""),"Surgery")</f>
        <v>Surgery</v>
      </c>
      <c r="B42" s="9" t="str">
        <f ca="1">IFERROR(__xludf.DUMMYFUNCTION("""COMPUTED_VALUE"""),"SU")</f>
        <v>SU</v>
      </c>
      <c r="C42" s="3" t="str">
        <f ca="1">IFERROR(__xludf.DUMMYFUNCTION("GOOGLETRANSLATE($A42,""en"",""de"")"),"Operation")</f>
        <v>Operation</v>
      </c>
      <c r="D42" s="3" t="str">
        <f ca="1">IFERROR(__xludf.DUMMYFUNCTION("GOOGLETRANSLATE($A42,""en"",""fr"")"),"Chirurgie")</f>
        <v>Chirurgie</v>
      </c>
      <c r="E42" s="3" t="str">
        <f ca="1">IFERROR(__xludf.DUMMYFUNCTION("GOOGLETRANSLATE($A42,""en"",""es"")"),"Cirugía")</f>
        <v>Cirugía</v>
      </c>
      <c r="F42" s="3" t="str">
        <f ca="1">IFERROR(__xludf.DUMMYFUNCTION("GOOGLETRANSLATE($A42,""en"",""it"")"),"Chirurgia")</f>
        <v>Chirurgia</v>
      </c>
      <c r="G42" s="3" t="str">
        <f ca="1">IFERROR(__xludf.DUMMYFUNCTION("GOOGLETRANSLATE($A42,""en"",""zh-cn"")"),"外科手术")</f>
        <v>外科手术</v>
      </c>
      <c r="H42" s="3" t="str">
        <f ca="1">IFERROR(__xludf.DUMMYFUNCTION("GOOGLETRANSLATE($A42,""en"",""ja"")"),"手術")</f>
        <v>手術</v>
      </c>
      <c r="I42" s="3" t="str">
        <f ca="1">IFERROR(__xludf.DUMMYFUNCTION("GOOGLETRANSLATE($A42,""en"",""ko"")"),"수술")</f>
        <v>수술</v>
      </c>
      <c r="J42" s="3" t="str">
        <f ca="1">IFERROR(__xludf.DUMMYFUNCTION("GOOGLETRANSLATE($A42,""en"",""pt-BR"")"),"Cirurgia")</f>
        <v>Cirurgia</v>
      </c>
    </row>
    <row r="43" spans="1:10" ht="15.75" customHeight="1" x14ac:dyDescent="0.15">
      <c r="A43" s="9" t="str">
        <f ca="1">IFERROR(__xludf.DUMMYFUNCTION("""COMPUTED_VALUE"""),"Urology")</f>
        <v>Urology</v>
      </c>
      <c r="B43" s="9" t="str">
        <f ca="1">IFERROR(__xludf.DUMMYFUNCTION("""COMPUTED_VALUE"""),"UR")</f>
        <v>UR</v>
      </c>
      <c r="C43" s="3" t="str">
        <f ca="1">IFERROR(__xludf.DUMMYFUNCTION("GOOGLETRANSLATE($A43,""en"",""de"")"),"Urologie")</f>
        <v>Urologie</v>
      </c>
      <c r="D43" s="3" t="str">
        <f ca="1">IFERROR(__xludf.DUMMYFUNCTION("GOOGLETRANSLATE($A43,""en"",""fr"")"),"Urologie")</f>
        <v>Urologie</v>
      </c>
      <c r="E43" s="3" t="str">
        <f ca="1">IFERROR(__xludf.DUMMYFUNCTION("GOOGLETRANSLATE($A43,""en"",""es"")"),"Urología")</f>
        <v>Urología</v>
      </c>
      <c r="F43" s="3" t="str">
        <f ca="1">IFERROR(__xludf.DUMMYFUNCTION("GOOGLETRANSLATE($A43,""en"",""it"")"),"Urologia")</f>
        <v>Urologia</v>
      </c>
      <c r="G43" s="3" t="str">
        <f ca="1">IFERROR(__xludf.DUMMYFUNCTION("GOOGLETRANSLATE($A43,""en"",""zh-cn"")"),"泌尿科")</f>
        <v>泌尿科</v>
      </c>
      <c r="H43" s="3" t="str">
        <f ca="1">IFERROR(__xludf.DUMMYFUNCTION("GOOGLETRANSLATE($A43,""en"",""ja"")"),"泌尿器科")</f>
        <v>泌尿器科</v>
      </c>
      <c r="I43" s="3" t="str">
        <f ca="1">IFERROR(__xludf.DUMMYFUNCTION("GOOGLETRANSLATE($A43,""en"",""ko"")"),"비뇨기과")</f>
        <v>비뇨기과</v>
      </c>
      <c r="J43" s="3" t="str">
        <f ca="1">IFERROR(__xludf.DUMMYFUNCTION("GOOGLETRANSLATE($A43,""en"",""pt-BR"")"),"Urologia")</f>
        <v>Urologia</v>
      </c>
    </row>
    <row r="44" spans="1:10" ht="15.75" customHeight="1" x14ac:dyDescent="0.15">
      <c r="A44" s="3" t="str">
        <f ca="1">IFERROR(__xludf.DUMMYFUNCTION("""COMPUTED_VALUE"""),"Veterinary")</f>
        <v>Veterinary</v>
      </c>
      <c r="B44" s="3" t="str">
        <f ca="1">IFERROR(__xludf.DUMMYFUNCTION("""COMPUTED_VALUE"""),"VT")</f>
        <v>VT</v>
      </c>
    </row>
    <row r="45" spans="1:10" ht="15.75" customHeight="1" x14ac:dyDescent="0.15">
      <c r="A45" s="3"/>
      <c r="B45" s="3"/>
    </row>
    <row r="46" spans="1:10" ht="15.75" customHeight="1" x14ac:dyDescent="0.15">
      <c r="A46" s="3"/>
      <c r="B46" s="3"/>
    </row>
    <row r="47" spans="1:10" ht="15.75" customHeight="1" x14ac:dyDescent="0.15">
      <c r="A47" s="3"/>
      <c r="B47" s="3"/>
    </row>
    <row r="48" spans="1:10" ht="15.75" customHeight="1" x14ac:dyDescent="0.15">
      <c r="A48" s="3"/>
      <c r="B48" s="3"/>
    </row>
    <row r="49" spans="1:2" ht="15.75" customHeight="1" x14ac:dyDescent="0.15">
      <c r="A49" s="3"/>
      <c r="B49" s="3"/>
    </row>
    <row r="50" spans="1:2" ht="15.75" customHeight="1" x14ac:dyDescent="0.15">
      <c r="A50" s="3"/>
      <c r="B50" s="3"/>
    </row>
    <row r="51" spans="1:2" ht="15.75" customHeight="1" x14ac:dyDescent="0.15">
      <c r="A51" s="3"/>
      <c r="B51" s="3"/>
    </row>
    <row r="52" spans="1:2" ht="15.75" customHeight="1" x14ac:dyDescent="0.15">
      <c r="A52" s="3"/>
      <c r="B52" s="3"/>
    </row>
    <row r="53" spans="1:2" ht="15.75" customHeight="1" x14ac:dyDescent="0.15">
      <c r="A53" s="3"/>
      <c r="B53" s="3"/>
    </row>
    <row r="54" spans="1:2" ht="15.75" customHeight="1" x14ac:dyDescent="0.15">
      <c r="A54" s="3"/>
      <c r="B54" s="3"/>
    </row>
    <row r="55" spans="1:2" ht="15.75" customHeight="1" x14ac:dyDescent="0.15">
      <c r="A55" s="3"/>
      <c r="B55" s="3"/>
    </row>
    <row r="56" spans="1:2" ht="15.75" customHeight="1" x14ac:dyDescent="0.15">
      <c r="A56" s="3"/>
      <c r="B56" s="3"/>
    </row>
    <row r="57" spans="1:2" ht="15.75" customHeight="1" x14ac:dyDescent="0.15">
      <c r="A57" s="3"/>
      <c r="B57" s="3"/>
    </row>
    <row r="58" spans="1:2" ht="15.75" customHeight="1" x14ac:dyDescent="0.15">
      <c r="A58" s="3"/>
      <c r="B58" s="3"/>
    </row>
    <row r="59" spans="1:2" ht="15.75" customHeight="1" x14ac:dyDescent="0.15">
      <c r="A59" s="3"/>
      <c r="B59" s="3"/>
    </row>
    <row r="60" spans="1:2" ht="13" x14ac:dyDescent="0.15">
      <c r="A60" s="3"/>
      <c r="B60" s="3"/>
    </row>
    <row r="61" spans="1:2" ht="13" x14ac:dyDescent="0.15">
      <c r="A61" s="3"/>
      <c r="B61" s="3"/>
    </row>
    <row r="62" spans="1:2" ht="13" x14ac:dyDescent="0.15">
      <c r="A62" s="3"/>
      <c r="B62" s="3"/>
    </row>
    <row r="63" spans="1:2" ht="13" x14ac:dyDescent="0.15">
      <c r="A63" s="3"/>
      <c r="B63" s="3"/>
    </row>
    <row r="64" spans="1:2" ht="13" x14ac:dyDescent="0.15">
      <c r="A64" s="3"/>
      <c r="B64" s="3"/>
    </row>
    <row r="65" spans="1:2" ht="13" x14ac:dyDescent="0.15">
      <c r="A65" s="3"/>
      <c r="B65" s="3"/>
    </row>
    <row r="66" spans="1:2" ht="13" x14ac:dyDescent="0.15">
      <c r="A66" s="3"/>
      <c r="B66" s="3"/>
    </row>
    <row r="67" spans="1:2" ht="13" x14ac:dyDescent="0.15">
      <c r="A67" s="3"/>
      <c r="B67" s="3"/>
    </row>
    <row r="68" spans="1:2" ht="13" x14ac:dyDescent="0.15">
      <c r="A68" s="3"/>
      <c r="B68" s="3"/>
    </row>
    <row r="69" spans="1:2" ht="13" x14ac:dyDescent="0.15">
      <c r="A69" s="3"/>
      <c r="B69" s="3"/>
    </row>
    <row r="70" spans="1:2" ht="13" x14ac:dyDescent="0.15">
      <c r="A70" s="3"/>
      <c r="B70" s="3"/>
    </row>
    <row r="71" spans="1:2" ht="13" x14ac:dyDescent="0.15">
      <c r="A71" s="3"/>
      <c r="B71" s="3"/>
    </row>
    <row r="72" spans="1:2" ht="13" x14ac:dyDescent="0.15">
      <c r="A72" s="3"/>
      <c r="B72" s="3"/>
    </row>
    <row r="73" spans="1:2" ht="13" x14ac:dyDescent="0.15">
      <c r="A73" s="3"/>
      <c r="B73" s="3"/>
    </row>
    <row r="74" spans="1:2" ht="13" x14ac:dyDescent="0.15">
      <c r="A74" s="3"/>
      <c r="B74" s="3"/>
    </row>
    <row r="75" spans="1:2" ht="13" x14ac:dyDescent="0.15">
      <c r="A75" s="3"/>
      <c r="B75" s="3"/>
    </row>
    <row r="76" spans="1:2" ht="13" x14ac:dyDescent="0.15">
      <c r="A76" s="3"/>
      <c r="B76" s="3"/>
    </row>
    <row r="77" spans="1:2" ht="13" x14ac:dyDescent="0.15">
      <c r="A77" s="3"/>
      <c r="B77" s="3"/>
    </row>
    <row r="78" spans="1:2" ht="13" x14ac:dyDescent="0.15">
      <c r="A78" s="3"/>
      <c r="B78" s="3"/>
    </row>
    <row r="79" spans="1:2" ht="13" x14ac:dyDescent="0.15">
      <c r="A79" s="3"/>
      <c r="B79" s="3"/>
    </row>
    <row r="80" spans="1:2"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84"/>
  <sheetViews>
    <sheetView workbookViewId="0"/>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32</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IFERROR(__xludf.DUMMYFUNCTION("IMPORTRANGE(""https://docs.google.com/spreadsheets/d/1C7ebseLw3CypDIkJDJaWHHfWiV3njB56moaBb7gLWo8/edit#gid=0"",""Medical Degree Items!A4:A"")"),"MD")</f>
        <v>MD</v>
      </c>
      <c r="B4" s="3" t="str">
        <f ca="1">IFERROR(__xludf.DUMMYFUNCTION("IMPORTRANGE(""https://docs.google.com/spreadsheets/d/1C7ebseLw3CypDIkJDJaWHHfWiV3njB56moaBb7gLWo8/edit#gid=0"",""Medical Degree Items!B4:B"")"),"MD")</f>
        <v>MD</v>
      </c>
      <c r="C4" s="3" t="str">
        <f ca="1">$A4</f>
        <v>MD</v>
      </c>
      <c r="D4" s="3" t="s">
        <v>33</v>
      </c>
      <c r="E4" s="3" t="s">
        <v>33</v>
      </c>
      <c r="F4" s="3" t="str">
        <f ca="1">IFERROR(__xludf.DUMMYFUNCTION("GOOGLETRANSLATE($A4,""en"",""it"")"),"MD")</f>
        <v>MD</v>
      </c>
      <c r="G4" s="3" t="str">
        <f ca="1">IFERROR(__xludf.DUMMYFUNCTION("GOOGLETRANSLATE($A4,""en"",""zh-cn"")"),"医学博士")</f>
        <v>医学博士</v>
      </c>
      <c r="H4" s="3" t="str">
        <f ca="1">IFERROR(__xludf.DUMMYFUNCTION("GOOGLETRANSLATE($A4,""en"",""ja"")"),"医学博士")</f>
        <v>医学博士</v>
      </c>
      <c r="I4" s="3" t="str">
        <f ca="1">IFERROR(__xludf.DUMMYFUNCTION("GOOGLETRANSLATE($A4,""en"",""ko"")"),"MD")</f>
        <v>MD</v>
      </c>
      <c r="J4" s="3" t="str">
        <f ca="1">IFERROR(__xludf.DUMMYFUNCTION("GOOGLETRANSLATE($A4,""en"",""pt-BR"")"),"Médico")</f>
        <v>Médico</v>
      </c>
    </row>
    <row r="5" spans="1:26" ht="15.75" customHeight="1" x14ac:dyDescent="0.15">
      <c r="A5" s="9" t="str">
        <f ca="1">IFERROR(__xludf.DUMMYFUNCTION("""COMPUTED_VALUE"""),"DO")</f>
        <v>DO</v>
      </c>
      <c r="B5" s="9" t="str">
        <f ca="1">IFERROR(__xludf.DUMMYFUNCTION("""COMPUTED_VALUE"""),"DO")</f>
        <v>DO</v>
      </c>
      <c r="C5" s="3" t="s">
        <v>34</v>
      </c>
      <c r="D5" s="3" t="s">
        <v>35</v>
      </c>
      <c r="E5" s="3" t="s">
        <v>35</v>
      </c>
      <c r="F5" s="3" t="s">
        <v>35</v>
      </c>
      <c r="G5" s="3" t="str">
        <f ca="1">IFERROR(__xludf.DUMMYFUNCTION("GOOGLETRANSLATE($A5,""en"",""zh-cn"")"),"做")</f>
        <v>做</v>
      </c>
      <c r="H5" s="3" t="str">
        <f ca="1">IFERROR(__xludf.DUMMYFUNCTION("GOOGLETRANSLATE($A5,""en"",""ja"")"),"する")</f>
        <v>する</v>
      </c>
      <c r="I5" s="3" t="str">
        <f ca="1">IFERROR(__xludf.DUMMYFUNCTION("GOOGLETRANSLATE($A5,""en"",""ko"")"),"~하다")</f>
        <v>~하다</v>
      </c>
      <c r="J5" s="3" t="s">
        <v>35</v>
      </c>
    </row>
    <row r="6" spans="1:26" ht="15.75" customHeight="1" x14ac:dyDescent="0.15">
      <c r="A6" s="9" t="str">
        <f ca="1">IFERROR(__xludf.DUMMYFUNCTION("""COMPUTED_VALUE"""),"Nurse")</f>
        <v>Nurse</v>
      </c>
      <c r="B6" s="9" t="str">
        <f ca="1">IFERROR(__xludf.DUMMYFUNCTION("""COMPUTED_VALUE"""),"NU")</f>
        <v>NU</v>
      </c>
      <c r="C6" s="3" t="str">
        <f ca="1">IFERROR(__xludf.DUMMYFUNCTION("GOOGLETRANSLATE($A6,""en"",""de"")"),"Krankenschwester")</f>
        <v>Krankenschwester</v>
      </c>
      <c r="D6" s="3" t="str">
        <f ca="1">IFERROR(__xludf.DUMMYFUNCTION("GOOGLETRANSLATE($A6,""en"",""fr"")"),"Infirmière")</f>
        <v>Infirmière</v>
      </c>
      <c r="E6" s="3" t="str">
        <f ca="1">IFERROR(__xludf.DUMMYFUNCTION("GOOGLETRANSLATE($A6,""en"",""es"")"),"Enfermero")</f>
        <v>Enfermero</v>
      </c>
      <c r="F6" s="3" t="str">
        <f ca="1">IFERROR(__xludf.DUMMYFUNCTION("GOOGLETRANSLATE($A6,""en"",""it"")"),"Infermiera")</f>
        <v>Infermiera</v>
      </c>
      <c r="G6" s="3" t="str">
        <f ca="1">IFERROR(__xludf.DUMMYFUNCTION("GOOGLETRANSLATE($A6,""en"",""zh-cn"")"),"护士")</f>
        <v>护士</v>
      </c>
      <c r="H6" s="3" t="str">
        <f ca="1">IFERROR(__xludf.DUMMYFUNCTION("GOOGLETRANSLATE($A6,""en"",""ja"")"),"看護師")</f>
        <v>看護師</v>
      </c>
      <c r="I6" s="3" t="str">
        <f ca="1">IFERROR(__xludf.DUMMYFUNCTION("GOOGLETRANSLATE($A6,""en"",""ko"")"),"간호사")</f>
        <v>간호사</v>
      </c>
      <c r="J6" s="3" t="str">
        <f ca="1">IFERROR(__xludf.DUMMYFUNCTION("GOOGLETRANSLATE($A6,""en"",""pt-BR"")"),"Enfermeira")</f>
        <v>Enfermeira</v>
      </c>
    </row>
    <row r="7" spans="1:26" ht="15.75" customHeight="1" x14ac:dyDescent="0.15">
      <c r="A7" s="9" t="str">
        <f ca="1">IFERROR(__xludf.DUMMYFUNCTION("""COMPUTED_VALUE"""),"Advanced Practice Nurse")</f>
        <v>Advanced Practice Nurse</v>
      </c>
      <c r="B7" s="9" t="str">
        <f ca="1">IFERROR(__xludf.DUMMYFUNCTION("""COMPUTED_VALUE"""),"NUAP")</f>
        <v>NUAP</v>
      </c>
      <c r="C7" s="3" t="str">
        <f ca="1">IFERROR(__xludf.DUMMYFUNCTION("GOOGLETRANSLATE($A7,""en"",""de"")"),"Fortgeschrittene Praxiskrankenschwester")</f>
        <v>Fortgeschrittene Praxiskrankenschwester</v>
      </c>
      <c r="D7" s="3" t="str">
        <f ca="1">IFERROR(__xludf.DUMMYFUNCTION("GOOGLETRANSLATE($A7,""en"",""fr"")"),"Infirmière de pratique avancée")</f>
        <v>Infirmière de pratique avancée</v>
      </c>
      <c r="E7" s="3" t="str">
        <f ca="1">IFERROR(__xludf.DUMMYFUNCTION("GOOGLETRANSLATE($A7,""en"",""es"")"),"Enfermera de práctica avanzada")</f>
        <v>Enfermera de práctica avanzada</v>
      </c>
      <c r="F7" s="3" t="str">
        <f ca="1">IFERROR(__xludf.DUMMYFUNCTION("GOOGLETRANSLATE($A7,""en"",""it"")"),"Infermiera di pratica avanzata")</f>
        <v>Infermiera di pratica avanzata</v>
      </c>
      <c r="G7" s="3" t="str">
        <f ca="1">IFERROR(__xludf.DUMMYFUNCTION("GOOGLETRANSLATE($A7,""en"",""zh-cn"")"),"高级实践护士")</f>
        <v>高级实践护士</v>
      </c>
      <c r="H7" s="3" t="str">
        <f ca="1">IFERROR(__xludf.DUMMYFUNCTION("GOOGLETRANSLATE($A7,""en"",""ja"")"),"高度実践看護師")</f>
        <v>高度実践看護師</v>
      </c>
      <c r="I7" s="3" t="str">
        <f ca="1">IFERROR(__xludf.DUMMYFUNCTION("GOOGLETRANSLATE($A7,""en"",""ko"")"),"고급 실습 간호사")</f>
        <v>고급 실습 간호사</v>
      </c>
      <c r="J7" s="3" t="str">
        <f ca="1">IFERROR(__xludf.DUMMYFUNCTION("GOOGLETRANSLATE($A7,""en"",""pt-BR"")"),"Enfermeira de Prática Avançada")</f>
        <v>Enfermeira de Prática Avançada</v>
      </c>
    </row>
    <row r="8" spans="1:26" ht="15.75" customHeight="1" x14ac:dyDescent="0.15">
      <c r="A8" s="9" t="str">
        <f ca="1">IFERROR(__xludf.DUMMYFUNCTION("""COMPUTED_VALUE"""),"Physician Assistant")</f>
        <v>Physician Assistant</v>
      </c>
      <c r="B8" s="9" t="str">
        <f ca="1">IFERROR(__xludf.DUMMYFUNCTION("""COMPUTED_VALUE"""),"PA")</f>
        <v>PA</v>
      </c>
      <c r="C8" s="3" t="str">
        <f ca="1">IFERROR(__xludf.DUMMYFUNCTION("GOOGLETRANSLATE($A8,""en"",""de"")"),"Arzthelferin")</f>
        <v>Arzthelferin</v>
      </c>
      <c r="D8" s="3" t="str">
        <f ca="1">IFERROR(__xludf.DUMMYFUNCTION("GOOGLETRANSLATE($A8,""en"",""fr"")"),"Médecin assistant")</f>
        <v>Médecin assistant</v>
      </c>
      <c r="E8" s="3" t="str">
        <f ca="1">IFERROR(__xludf.DUMMYFUNCTION("GOOGLETRANSLATE($A8,""en"",""es"")"),"Asistente médico")</f>
        <v>Asistente médico</v>
      </c>
      <c r="F8" s="3" t="str">
        <f ca="1">IFERROR(__xludf.DUMMYFUNCTION("GOOGLETRANSLATE($A8,""en"",""it"")"),"Assistente medico")</f>
        <v>Assistente medico</v>
      </c>
      <c r="G8" s="3" t="str">
        <f ca="1">IFERROR(__xludf.DUMMYFUNCTION("GOOGLETRANSLATE($A8,""en"",""zh-cn"")"),"医师助理")</f>
        <v>医师助理</v>
      </c>
      <c r="H8" s="3" t="str">
        <f ca="1">IFERROR(__xludf.DUMMYFUNCTION("GOOGLETRANSLATE($A8,""en"",""ja"")"),"医師助手")</f>
        <v>医師助手</v>
      </c>
      <c r="I8" s="3" t="str">
        <f ca="1">IFERROR(__xludf.DUMMYFUNCTION("GOOGLETRANSLATE($A8,""en"",""ko"")"),"의사 보조")</f>
        <v>의사 보조</v>
      </c>
      <c r="J8" s="3" t="str">
        <f ca="1">IFERROR(__xludf.DUMMYFUNCTION("GOOGLETRANSLATE($A8,""en"",""pt-BR"")"),"Médico Assistente")</f>
        <v>Médico Assistente</v>
      </c>
    </row>
    <row r="9" spans="1:26" ht="15.75" customHeight="1" x14ac:dyDescent="0.15">
      <c r="A9" s="9" t="str">
        <f ca="1">IFERROR(__xludf.DUMMYFUNCTION("""COMPUTED_VALUE"""),"PharmD")</f>
        <v>PharmD</v>
      </c>
      <c r="B9" s="9" t="str">
        <f ca="1">IFERROR(__xludf.DUMMYFUNCTION("""COMPUTED_VALUE"""),"PHMD")</f>
        <v>PHMD</v>
      </c>
      <c r="C9" s="3" t="str">
        <f ca="1">IFERROR(__xludf.DUMMYFUNCTION("GOOGLETRANSLATE($A9,""en"",""de"")"),"PharmD")</f>
        <v>PharmD</v>
      </c>
      <c r="D9" s="3" t="str">
        <f ca="1">IFERROR(__xludf.DUMMYFUNCTION("GOOGLETRANSLATE($A9,""en"",""fr"")"),"Docteur en pharmacie")</f>
        <v>Docteur en pharmacie</v>
      </c>
      <c r="E9" s="3" t="str">
        <f ca="1">IFERROR(__xludf.DUMMYFUNCTION("GOOGLETRANSLATE($A9,""en"",""es"")"),"Farmacéutica")</f>
        <v>Farmacéutica</v>
      </c>
      <c r="F9" s="3" t="str">
        <f ca="1">IFERROR(__xludf.DUMMYFUNCTION("GOOGLETRANSLATE($A9,""en"",""it"")"),"FarmaD")</f>
        <v>FarmaD</v>
      </c>
      <c r="G9" s="3" t="str">
        <f ca="1">IFERROR(__xludf.DUMMYFUNCTION("GOOGLETRANSLATE($A9,""en"",""zh-cn"")"),"药学博士")</f>
        <v>药学博士</v>
      </c>
      <c r="H9" s="3" t="str">
        <f ca="1">IFERROR(__xludf.DUMMYFUNCTION("GOOGLETRANSLATE($A9,""en"",""ja"")"),"薬学博士")</f>
        <v>薬学博士</v>
      </c>
      <c r="I9" s="3" t="str">
        <f ca="1">IFERROR(__xludf.DUMMYFUNCTION("GOOGLETRANSLATE($A9,""en"",""ko"")"),"PharmD")</f>
        <v>PharmD</v>
      </c>
      <c r="J9" s="3" t="str">
        <f ca="1">IFERROR(__xludf.DUMMYFUNCTION("GOOGLETRANSLATE($A9,""en"",""pt-BR"")"),"Farmácia")</f>
        <v>Farmácia</v>
      </c>
    </row>
    <row r="10" spans="1:26" ht="15.75" customHeight="1" x14ac:dyDescent="0.15">
      <c r="A10" s="9" t="str">
        <f ca="1">IFERROR(__xludf.DUMMYFUNCTION("""COMPUTED_VALUE"""),"DMD")</f>
        <v>DMD</v>
      </c>
      <c r="B10" s="9" t="str">
        <f ca="1">IFERROR(__xludf.DUMMYFUNCTION("""COMPUTED_VALUE"""),"DMD")</f>
        <v>DMD</v>
      </c>
      <c r="C10" s="3" t="str">
        <f ca="1">IFERROR(__xludf.DUMMYFUNCTION("GOOGLETRANSLATE($A10,""en"",""de"")"),"DMD")</f>
        <v>DMD</v>
      </c>
      <c r="D10" s="3" t="str">
        <f ca="1">IFERROR(__xludf.DUMMYFUNCTION("GOOGLETRANSLATE($A10,""en"",""fr"")"),"DMD")</f>
        <v>DMD</v>
      </c>
      <c r="E10" s="3" t="str">
        <f ca="1">IFERROR(__xludf.DUMMYFUNCTION("GOOGLETRANSLATE($A10,""en"",""es"")"),"DMD")</f>
        <v>DMD</v>
      </c>
      <c r="F10" s="3" t="str">
        <f ca="1">IFERROR(__xludf.DUMMYFUNCTION("GOOGLETRANSLATE($A10,""en"",""it"")"),"DMD")</f>
        <v>DMD</v>
      </c>
      <c r="G10" s="3" t="str">
        <f ca="1">IFERROR(__xludf.DUMMYFUNCTION("GOOGLETRANSLATE($A10,""en"",""zh-cn"")"),"DMD")</f>
        <v>DMD</v>
      </c>
      <c r="H10" s="3" t="str">
        <f ca="1">IFERROR(__xludf.DUMMYFUNCTION("GOOGLETRANSLATE($A10,""en"",""ja"")"),"DMD")</f>
        <v>DMD</v>
      </c>
      <c r="I10" s="3" t="str">
        <f ca="1">IFERROR(__xludf.DUMMYFUNCTION("GOOGLETRANSLATE($A10,""en"",""ko"")"),"DMD")</f>
        <v>DMD</v>
      </c>
      <c r="J10" s="3" t="str">
        <f ca="1">IFERROR(__xludf.DUMMYFUNCTION("GOOGLETRANSLATE($A10,""en"",""pt-BR"")"),"DMD")</f>
        <v>DMD</v>
      </c>
    </row>
    <row r="11" spans="1:26" ht="15.75" customHeight="1" x14ac:dyDescent="0.15">
      <c r="A11" s="9" t="str">
        <f ca="1">IFERROR(__xludf.DUMMYFUNCTION("""COMPUTED_VALUE"""),"DVM")</f>
        <v>DVM</v>
      </c>
      <c r="B11" s="9" t="str">
        <f ca="1">IFERROR(__xludf.DUMMYFUNCTION("""COMPUTED_VALUE"""),"DVM")</f>
        <v>DVM</v>
      </c>
      <c r="C11" s="3" t="str">
        <f ca="1">IFERROR(__xludf.DUMMYFUNCTION("GOOGLETRANSLATE($A11,""en"",""de"")"),"DVM")</f>
        <v>DVM</v>
      </c>
      <c r="D11" s="3" t="str">
        <f ca="1">IFERROR(__xludf.DUMMYFUNCTION("GOOGLETRANSLATE($A11,""en"",""fr"")"),"DMV")</f>
        <v>DMV</v>
      </c>
      <c r="E11" s="3" t="str">
        <f ca="1">IFERROR(__xludf.DUMMYFUNCTION("GOOGLETRANSLATE($A11,""en"",""es"")"),"DVM")</f>
        <v>DVM</v>
      </c>
      <c r="F11" s="3" t="str">
        <f ca="1">IFERROR(__xludf.DUMMYFUNCTION("GOOGLETRANSLATE($A11,""en"",""it"")"),"DVM")</f>
        <v>DVM</v>
      </c>
      <c r="G11" s="3" t="str">
        <f ca="1">IFERROR(__xludf.DUMMYFUNCTION("GOOGLETRANSLATE($A11,""en"",""zh-cn"")"),"数字虚拟机")</f>
        <v>数字虚拟机</v>
      </c>
      <c r="H11" s="3" t="str">
        <f ca="1">IFERROR(__xludf.DUMMYFUNCTION("GOOGLETRANSLATE($A11,""en"",""ja"")"),"DVM")</f>
        <v>DVM</v>
      </c>
      <c r="I11" s="3" t="str">
        <f ca="1">IFERROR(__xludf.DUMMYFUNCTION("GOOGLETRANSLATE($A11,""en"",""ko"")"),"DVM")</f>
        <v>DVM</v>
      </c>
      <c r="J11" s="3" t="str">
        <f ca="1">IFERROR(__xludf.DUMMYFUNCTION("GOOGLETRANSLATE($A11,""en"",""pt-BR"")"),"DVM")</f>
        <v>DVM</v>
      </c>
    </row>
    <row r="12" spans="1:26" ht="15.75" customHeight="1" x14ac:dyDescent="0.15">
      <c r="A12" s="9" t="str">
        <f ca="1">IFERROR(__xludf.DUMMYFUNCTION("""COMPUTED_VALUE"""),"PhD")</f>
        <v>PhD</v>
      </c>
      <c r="B12" s="9" t="str">
        <f ca="1">IFERROR(__xludf.DUMMYFUNCTION("""COMPUTED_VALUE"""),"PHD")</f>
        <v>PHD</v>
      </c>
      <c r="C12" s="3" t="str">
        <f ca="1">IFERROR(__xludf.DUMMYFUNCTION("GOOGLETRANSLATE($A12,""en"",""de"")"),"Doktortitel")</f>
        <v>Doktortitel</v>
      </c>
      <c r="D12" s="3" t="str">
        <f ca="1">IFERROR(__xludf.DUMMYFUNCTION("GOOGLETRANSLATE($A12,""en"",""fr"")"),"Doctorat")</f>
        <v>Doctorat</v>
      </c>
      <c r="E12" s="3" t="str">
        <f ca="1">IFERROR(__xludf.DUMMYFUNCTION("GOOGLETRANSLATE($A12,""en"",""es"")"),"Doctor")</f>
        <v>Doctor</v>
      </c>
      <c r="F12" s="3" t="str">
        <f ca="1">IFERROR(__xludf.DUMMYFUNCTION("GOOGLETRANSLATE($A12,""en"",""it"")"),"Dottorato di ricerca")</f>
        <v>Dottorato di ricerca</v>
      </c>
      <c r="G12" s="3" t="str">
        <f ca="1">IFERROR(__xludf.DUMMYFUNCTION("GOOGLETRANSLATE($A12,""en"",""zh-cn"")"),"博士")</f>
        <v>博士</v>
      </c>
      <c r="H12" s="3" t="str">
        <f ca="1">IFERROR(__xludf.DUMMYFUNCTION("GOOGLETRANSLATE($A12,""en"",""ja"")"),"博士号")</f>
        <v>博士号</v>
      </c>
      <c r="I12" s="3" t="str">
        <f ca="1">IFERROR(__xludf.DUMMYFUNCTION("GOOGLETRANSLATE($A12,""en"",""ko"")"),"박사")</f>
        <v>박사</v>
      </c>
      <c r="J12" s="3" t="str">
        <f ca="1">IFERROR(__xludf.DUMMYFUNCTION("GOOGLETRANSLATE($A12,""en"",""pt-BR"")"),"Doutorado")</f>
        <v>Doutorado</v>
      </c>
    </row>
    <row r="13" spans="1:26" ht="15.75" customHeight="1" x14ac:dyDescent="0.15">
      <c r="A13" s="9" t="str">
        <f ca="1">IFERROR(__xludf.DUMMYFUNCTION("""COMPUTED_VALUE"""),"Master of Medicine")</f>
        <v>Master of Medicine</v>
      </c>
      <c r="B13" s="9" t="str">
        <f ca="1">IFERROR(__xludf.DUMMYFUNCTION("""COMPUTED_VALUE"""),"MSCM")</f>
        <v>MSCM</v>
      </c>
      <c r="C13" s="3" t="str">
        <f ca="1">IFERROR(__xludf.DUMMYFUNCTION("GOOGLETRANSLATE($A13,""en"",""de"")"),"Master der Medizin")</f>
        <v>Master der Medizin</v>
      </c>
      <c r="D13" s="3" t="str">
        <f ca="1">IFERROR(__xludf.DUMMYFUNCTION("GOOGLETRANSLATE($A13,""en"",""fr"")"),"Master de médecine")</f>
        <v>Master de médecine</v>
      </c>
      <c r="E13" s="3" t="str">
        <f ca="1">IFERROR(__xludf.DUMMYFUNCTION("GOOGLETRANSLATE($A13,""en"",""es"")"),"Maestría en Medicina")</f>
        <v>Maestría en Medicina</v>
      </c>
      <c r="F13" s="3" t="str">
        <f ca="1">IFERROR(__xludf.DUMMYFUNCTION("GOOGLETRANSLATE($A13,""en"",""it"")"),"Maestro di Medicina")</f>
        <v>Maestro di Medicina</v>
      </c>
      <c r="G13" s="3" t="str">
        <f ca="1">IFERROR(__xludf.DUMMYFUNCTION("GOOGLETRANSLATE($A13,""en"",""zh-cn"")"),"医学硕士")</f>
        <v>医学硕士</v>
      </c>
      <c r="H13" s="3" t="str">
        <f ca="1">IFERROR(__xludf.DUMMYFUNCTION("GOOGLETRANSLATE($A13,""en"",""ja"")"),"医学修士")</f>
        <v>医学修士</v>
      </c>
      <c r="I13" s="3" t="str">
        <f ca="1">IFERROR(__xludf.DUMMYFUNCTION("GOOGLETRANSLATE($A13,""en"",""ko"")"),"의학석사")</f>
        <v>의학석사</v>
      </c>
      <c r="J13" s="3" t="str">
        <f ca="1">IFERROR(__xludf.DUMMYFUNCTION("GOOGLETRANSLATE($A13,""en"",""pt-BR"")"),"Mestre em Medicina")</f>
        <v>Mestre em Medicina</v>
      </c>
    </row>
    <row r="14" spans="1:26" ht="15.75" customHeight="1" x14ac:dyDescent="0.15">
      <c r="A14" s="9" t="str">
        <f ca="1">IFERROR(__xludf.DUMMYFUNCTION("""COMPUTED_VALUE"""),"Bachelor of Medicine")</f>
        <v>Bachelor of Medicine</v>
      </c>
      <c r="B14" s="9" t="str">
        <f ca="1">IFERROR(__xludf.DUMMYFUNCTION("""COMPUTED_VALUE"""),"BSCM")</f>
        <v>BSCM</v>
      </c>
      <c r="C14" s="3" t="str">
        <f ca="1">IFERROR(__xludf.DUMMYFUNCTION("GOOGLETRANSLATE($A14,""en"",""de"")"),"Bachlor für Medizin")</f>
        <v>Bachlor für Medizin</v>
      </c>
      <c r="D14" s="3" t="str">
        <f ca="1">IFERROR(__xludf.DUMMYFUNCTION("GOOGLETRANSLATE($A14,""en"",""fr"")"),"Baccalauréat en médecine")</f>
        <v>Baccalauréat en médecine</v>
      </c>
      <c r="E14" s="3" t="str">
        <f ca="1">IFERROR(__xludf.DUMMYFUNCTION("GOOGLETRANSLATE($A14,""en"",""es"")"),"Licenciatura en Medicina")</f>
        <v>Licenciatura en Medicina</v>
      </c>
      <c r="F14" s="3" t="str">
        <f ca="1">IFERROR(__xludf.DUMMYFUNCTION("GOOGLETRANSLATE($A14,""en"",""it"")"),"Laurea in Medicina")</f>
        <v>Laurea in Medicina</v>
      </c>
      <c r="G14" s="3" t="str">
        <f ca="1">IFERROR(__xludf.DUMMYFUNCTION("GOOGLETRANSLATE($A14,""en"",""zh-cn"")"),"医学学士")</f>
        <v>医学学士</v>
      </c>
      <c r="H14" s="3" t="str">
        <f ca="1">IFERROR(__xludf.DUMMYFUNCTION("GOOGLETRANSLATE($A14,""en"",""ja"")"),"医学学士")</f>
        <v>医学学士</v>
      </c>
      <c r="I14" s="3" t="str">
        <f ca="1">IFERROR(__xludf.DUMMYFUNCTION("GOOGLETRANSLATE($A14,""en"",""ko"")"),"의학 학사")</f>
        <v>의학 학사</v>
      </c>
      <c r="J14" s="3" t="str">
        <f ca="1">IFERROR(__xludf.DUMMYFUNCTION("GOOGLETRANSLATE($A14,""en"",""pt-BR"")"),"Bacharel em Medicina")</f>
        <v>Bacharel em Medicina</v>
      </c>
    </row>
    <row r="15" spans="1:26" ht="15.75" customHeight="1" x14ac:dyDescent="0.15">
      <c r="A15" s="9"/>
      <c r="B15" s="9"/>
      <c r="C15" s="9"/>
    </row>
    <row r="16" spans="1:26" ht="15.75" customHeight="1" x14ac:dyDescent="0.15">
      <c r="A16" s="3"/>
      <c r="B16" s="3"/>
      <c r="C16" s="3"/>
    </row>
    <row r="17" spans="1:3" ht="15.75" customHeight="1" x14ac:dyDescent="0.15">
      <c r="A17" s="3"/>
      <c r="B17" s="3"/>
      <c r="C17" s="3"/>
    </row>
    <row r="18" spans="1:3" ht="15.75" customHeight="1" x14ac:dyDescent="0.15">
      <c r="A18" s="3"/>
      <c r="B18" s="3"/>
      <c r="C18" s="3"/>
    </row>
    <row r="19" spans="1:3" ht="15.75" customHeight="1" x14ac:dyDescent="0.15">
      <c r="A19" s="3"/>
      <c r="B19" s="3"/>
      <c r="C19" s="3"/>
    </row>
    <row r="20" spans="1:3" ht="15.75" customHeight="1" x14ac:dyDescent="0.15">
      <c r="A20" s="3"/>
      <c r="B20" s="3"/>
      <c r="C20" s="3"/>
    </row>
    <row r="21" spans="1:3" ht="15.75" customHeight="1" x14ac:dyDescent="0.15">
      <c r="A21" s="3"/>
      <c r="B21" s="3"/>
      <c r="C21" s="3"/>
    </row>
    <row r="22" spans="1:3" ht="15.75" customHeight="1" x14ac:dyDescent="0.15">
      <c r="A22" s="3"/>
      <c r="B22" s="3"/>
      <c r="C22" s="3"/>
    </row>
    <row r="23" spans="1:3" ht="15.75" customHeight="1" x14ac:dyDescent="0.15">
      <c r="A23" s="3"/>
      <c r="B23" s="3"/>
      <c r="C23" s="3"/>
    </row>
    <row r="24" spans="1:3" ht="15.75" customHeight="1" x14ac:dyDescent="0.15">
      <c r="A24" s="3"/>
      <c r="B24" s="3"/>
      <c r="C24" s="3"/>
    </row>
    <row r="25" spans="1:3" ht="15.75" customHeight="1" x14ac:dyDescent="0.15">
      <c r="A25" s="3"/>
      <c r="B25" s="3"/>
      <c r="C25" s="3"/>
    </row>
    <row r="26" spans="1:3" ht="15.75" customHeight="1" x14ac:dyDescent="0.15">
      <c r="A26" s="3"/>
      <c r="B26" s="3"/>
      <c r="C26" s="3"/>
    </row>
    <row r="27" spans="1:3" ht="15.75" customHeight="1" x14ac:dyDescent="0.15">
      <c r="A27" s="3"/>
      <c r="B27" s="3"/>
      <c r="C27" s="3"/>
    </row>
    <row r="28" spans="1:3" ht="15.75" customHeight="1" x14ac:dyDescent="0.15">
      <c r="A28" s="3"/>
      <c r="B28" s="3"/>
      <c r="C28" s="3"/>
    </row>
    <row r="29" spans="1:3" ht="15.75" customHeight="1" x14ac:dyDescent="0.15">
      <c r="A29" s="3"/>
      <c r="B29" s="3"/>
      <c r="C29" s="3"/>
    </row>
    <row r="30" spans="1:3" ht="15.75" customHeight="1" x14ac:dyDescent="0.15">
      <c r="A30" s="3"/>
      <c r="B30" s="3"/>
      <c r="C30" s="3"/>
    </row>
    <row r="31" spans="1:3" ht="15.75" customHeight="1" x14ac:dyDescent="0.15">
      <c r="A31" s="3"/>
      <c r="B31" s="3"/>
      <c r="C31" s="3"/>
    </row>
    <row r="32" spans="1:3" ht="15.75" customHeight="1" x14ac:dyDescent="0.15">
      <c r="A32" s="3"/>
      <c r="B32" s="3"/>
      <c r="C32" s="3"/>
    </row>
    <row r="33" spans="1:3" ht="15.75" customHeight="1" x14ac:dyDescent="0.15">
      <c r="A33" s="3"/>
      <c r="B33" s="3"/>
      <c r="C33" s="3"/>
    </row>
    <row r="34" spans="1:3" ht="15.75" customHeight="1" x14ac:dyDescent="0.15">
      <c r="A34" s="3"/>
      <c r="B34" s="3"/>
      <c r="C34" s="3"/>
    </row>
    <row r="35" spans="1:3" ht="15.75" customHeight="1" x14ac:dyDescent="0.15">
      <c r="A35" s="3"/>
      <c r="B35" s="3"/>
      <c r="C35" s="3"/>
    </row>
    <row r="36" spans="1:3" ht="15.75" customHeight="1" x14ac:dyDescent="0.15">
      <c r="A36" s="3"/>
      <c r="B36" s="3"/>
      <c r="C36" s="3"/>
    </row>
    <row r="37" spans="1:3" ht="15.75" customHeight="1" x14ac:dyDescent="0.15">
      <c r="A37" s="3"/>
      <c r="B37" s="3"/>
      <c r="C37" s="3"/>
    </row>
    <row r="38" spans="1:3" ht="15.75" customHeight="1" x14ac:dyDescent="0.15">
      <c r="A38" s="3"/>
      <c r="B38" s="3"/>
      <c r="C38" s="3"/>
    </row>
    <row r="39" spans="1:3" ht="15.75" customHeight="1" x14ac:dyDescent="0.15">
      <c r="A39" s="3"/>
      <c r="B39" s="3"/>
      <c r="C39" s="3"/>
    </row>
    <row r="40" spans="1:3" ht="15.75" customHeight="1" x14ac:dyDescent="0.15">
      <c r="A40" s="3"/>
      <c r="B40" s="3"/>
      <c r="C40" s="3"/>
    </row>
    <row r="41" spans="1:3" ht="15.75" customHeight="1" x14ac:dyDescent="0.15">
      <c r="A41" s="3"/>
      <c r="B41" s="3"/>
      <c r="C41" s="3"/>
    </row>
    <row r="42" spans="1:3" ht="15.75" customHeight="1" x14ac:dyDescent="0.15">
      <c r="A42" s="3"/>
      <c r="B42" s="3"/>
      <c r="C42" s="3"/>
    </row>
    <row r="43" spans="1:3" ht="15.75" customHeight="1" x14ac:dyDescent="0.15">
      <c r="A43" s="3"/>
      <c r="B43" s="3"/>
      <c r="C43" s="3"/>
    </row>
    <row r="44" spans="1:3" ht="15.75" customHeight="1" x14ac:dyDescent="0.15">
      <c r="A44" s="3"/>
      <c r="B44" s="3"/>
      <c r="C44" s="3"/>
    </row>
    <row r="45" spans="1:3" ht="15.75" customHeight="1" x14ac:dyDescent="0.15">
      <c r="A45" s="3"/>
      <c r="B45" s="3"/>
      <c r="C45" s="3"/>
    </row>
    <row r="46" spans="1:3" ht="15.75" customHeight="1" x14ac:dyDescent="0.15">
      <c r="A46" s="3"/>
      <c r="B46" s="3"/>
      <c r="C46" s="3"/>
    </row>
    <row r="47" spans="1:3" ht="15.75" customHeight="1" x14ac:dyDescent="0.15">
      <c r="A47" s="3"/>
      <c r="B47" s="3"/>
      <c r="C47" s="3"/>
    </row>
    <row r="48" spans="1:3" ht="15.75" customHeight="1" x14ac:dyDescent="0.15">
      <c r="A48" s="3"/>
      <c r="B48" s="3"/>
      <c r="C48" s="3"/>
    </row>
    <row r="49" spans="1:3" ht="15.75" customHeight="1" x14ac:dyDescent="0.15">
      <c r="A49" s="3"/>
      <c r="B49" s="3"/>
      <c r="C49" s="3"/>
    </row>
    <row r="50" spans="1:3" ht="15.75" customHeight="1" x14ac:dyDescent="0.15">
      <c r="A50" s="3"/>
      <c r="B50" s="3"/>
      <c r="C50" s="3"/>
    </row>
    <row r="51" spans="1:3" ht="15.75" customHeight="1" x14ac:dyDescent="0.15">
      <c r="A51" s="3"/>
      <c r="B51" s="3"/>
      <c r="C51" s="3"/>
    </row>
    <row r="52" spans="1:3" ht="15.75" customHeight="1" x14ac:dyDescent="0.15">
      <c r="A52" s="3"/>
      <c r="B52" s="3"/>
      <c r="C52" s="3"/>
    </row>
    <row r="53" spans="1:3" ht="15.75" customHeight="1" x14ac:dyDescent="0.15">
      <c r="A53" s="3"/>
      <c r="B53" s="3"/>
      <c r="C53" s="3"/>
    </row>
    <row r="54" spans="1:3" ht="15.75" customHeight="1" x14ac:dyDescent="0.15">
      <c r="A54" s="3"/>
      <c r="B54" s="3"/>
      <c r="C54" s="3"/>
    </row>
    <row r="55" spans="1:3" ht="15.75" customHeight="1" x14ac:dyDescent="0.15">
      <c r="A55" s="3"/>
      <c r="B55" s="3"/>
      <c r="C55" s="3"/>
    </row>
    <row r="56" spans="1:3" ht="15.75" customHeight="1" x14ac:dyDescent="0.15">
      <c r="A56" s="3"/>
      <c r="B56" s="3"/>
      <c r="C56" s="3"/>
    </row>
    <row r="57" spans="1:3" ht="15.75" customHeight="1" x14ac:dyDescent="0.15">
      <c r="A57" s="3"/>
      <c r="B57" s="3"/>
      <c r="C57" s="3"/>
    </row>
    <row r="58" spans="1:3" ht="15.75" customHeight="1" x14ac:dyDescent="0.15">
      <c r="A58" s="3"/>
      <c r="B58" s="3"/>
      <c r="C58" s="3"/>
    </row>
    <row r="59" spans="1:3" ht="15.75" customHeight="1" x14ac:dyDescent="0.15">
      <c r="A59" s="3"/>
      <c r="B59" s="3"/>
      <c r="C59" s="3"/>
    </row>
    <row r="60" spans="1:3" ht="13" x14ac:dyDescent="0.15">
      <c r="A60" s="3"/>
      <c r="B60" s="3"/>
      <c r="C60" s="3"/>
    </row>
    <row r="61" spans="1:3" ht="13" x14ac:dyDescent="0.15">
      <c r="A61" s="3"/>
      <c r="B61" s="3"/>
      <c r="C61" s="3"/>
    </row>
    <row r="62" spans="1:3" ht="13" x14ac:dyDescent="0.15">
      <c r="A62" s="3"/>
      <c r="B62" s="3"/>
      <c r="C62" s="3"/>
    </row>
    <row r="63" spans="1:3" ht="13" x14ac:dyDescent="0.15">
      <c r="A63" s="3"/>
      <c r="B63" s="3"/>
      <c r="C63" s="3"/>
    </row>
    <row r="64" spans="1:3" ht="13" x14ac:dyDescent="0.15">
      <c r="A64" s="3"/>
      <c r="B64" s="3"/>
      <c r="C64" s="3"/>
    </row>
    <row r="65" spans="1:3" ht="13" x14ac:dyDescent="0.15">
      <c r="A65" s="3"/>
      <c r="B65" s="3"/>
      <c r="C65" s="3"/>
    </row>
    <row r="66" spans="1:3" ht="13" x14ac:dyDescent="0.15">
      <c r="A66" s="3"/>
      <c r="B66" s="3"/>
    </row>
    <row r="67" spans="1:3" ht="13" x14ac:dyDescent="0.15">
      <c r="A67" s="3"/>
      <c r="B67" s="3"/>
    </row>
    <row r="68" spans="1:3" ht="13" x14ac:dyDescent="0.15">
      <c r="A68" s="3"/>
      <c r="B68" s="3"/>
    </row>
    <row r="69" spans="1:3" ht="13" x14ac:dyDescent="0.15">
      <c r="A69" s="3"/>
      <c r="B69" s="3"/>
    </row>
    <row r="70" spans="1:3" ht="13" x14ac:dyDescent="0.15">
      <c r="A70" s="3"/>
      <c r="B70" s="3"/>
    </row>
    <row r="71" spans="1:3" ht="13" x14ac:dyDescent="0.15">
      <c r="A71" s="3"/>
      <c r="B71" s="3"/>
    </row>
    <row r="72" spans="1:3" ht="13" x14ac:dyDescent="0.15">
      <c r="A72" s="3"/>
      <c r="B72" s="3"/>
    </row>
    <row r="73" spans="1:3" ht="13" x14ac:dyDescent="0.15">
      <c r="A73" s="3"/>
      <c r="B73" s="3"/>
    </row>
    <row r="74" spans="1:3" ht="13" x14ac:dyDescent="0.15">
      <c r="A74" s="3"/>
      <c r="B74" s="3"/>
    </row>
    <row r="75" spans="1:3" ht="13" x14ac:dyDescent="0.15">
      <c r="A75" s="3"/>
      <c r="B75" s="3"/>
    </row>
    <row r="76" spans="1:3" ht="13" x14ac:dyDescent="0.15">
      <c r="A76" s="3"/>
      <c r="B76" s="3"/>
    </row>
    <row r="77" spans="1:3" ht="13" x14ac:dyDescent="0.15">
      <c r="A77" s="3"/>
      <c r="B77" s="3"/>
    </row>
    <row r="78" spans="1:3" ht="13" x14ac:dyDescent="0.15">
      <c r="A78" s="3"/>
      <c r="B78" s="3"/>
    </row>
    <row r="79" spans="1:3" ht="13" x14ac:dyDescent="0.15">
      <c r="A79" s="3"/>
      <c r="B79" s="3"/>
    </row>
    <row r="80" spans="1:3"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row r="981" spans="1:2" ht="13" x14ac:dyDescent="0.15">
      <c r="A981" s="3"/>
      <c r="B981" s="3"/>
    </row>
    <row r="982" spans="1:2" ht="13" x14ac:dyDescent="0.15">
      <c r="A982" s="3"/>
      <c r="B982" s="3"/>
    </row>
    <row r="983" spans="1:2" ht="13" x14ac:dyDescent="0.15">
      <c r="A983" s="3"/>
      <c r="B983" s="3"/>
    </row>
    <row r="984" spans="1:2" ht="13" x14ac:dyDescent="0.15">
      <c r="A984" s="3"/>
      <c r="B984"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81"/>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36</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IFERROR(__xludf.DUMMYFUNCTION("IMPORTRANGE(""https://docs.google.com/spreadsheets/d/1C7ebseLw3CypDIkJDJaWHHfWiV3njB56moaBb7gLWo8/edit#gid=0"",""HCP Status Items!A4:A"")"),"Active")</f>
        <v>Active</v>
      </c>
      <c r="B4" s="3" t="str">
        <f ca="1">IFERROR(__xludf.DUMMYFUNCTION("IMPORTRANGE(""https://docs.google.com/spreadsheets/d/1C7ebseLw3CypDIkJDJaWHHfWiV3njB56moaBb7gLWo8/edit#gid=0"",""HCP Status Items!B4:B"")"),"ACT")</f>
        <v>ACT</v>
      </c>
      <c r="C4" s="3" t="str">
        <f ca="1">IFERROR(__xludf.DUMMYFUNCTION("GOOGLETRANSLATE($A4,""en"",""de"")"),"Aktiv")</f>
        <v>Aktiv</v>
      </c>
      <c r="D4" s="3" t="str">
        <f ca="1">IFERROR(__xludf.DUMMYFUNCTION("GOOGLETRANSLATE($A4,""en"",""fr"")"),"Actif")</f>
        <v>Actif</v>
      </c>
      <c r="E4" s="3" t="str">
        <f ca="1">IFERROR(__xludf.DUMMYFUNCTION("GOOGLETRANSLATE($A4,""en"",""es"")"),"Activo")</f>
        <v>Activo</v>
      </c>
      <c r="F4" s="3" t="str">
        <f ca="1">IFERROR(__xludf.DUMMYFUNCTION("GOOGLETRANSLATE($A4,""en"",""it"")"),"Attivo")</f>
        <v>Attivo</v>
      </c>
      <c r="G4" s="3" t="str">
        <f ca="1">IFERROR(__xludf.DUMMYFUNCTION("GOOGLETRANSLATE($A4,""en"",""zh-cn"")"),"积极的")</f>
        <v>积极的</v>
      </c>
      <c r="H4" s="3" t="str">
        <f ca="1">IFERROR(__xludf.DUMMYFUNCTION("GOOGLETRANSLATE($A4,""en"",""ja"")"),"アクティブ")</f>
        <v>アクティブ</v>
      </c>
      <c r="I4" s="3" t="str">
        <f ca="1">IFERROR(__xludf.DUMMYFUNCTION("GOOGLETRANSLATE($A4,""en"",""ko"")"),"활동적인")</f>
        <v>활동적인</v>
      </c>
      <c r="J4" s="3" t="str">
        <f ca="1">IFERROR(__xludf.DUMMYFUNCTION("GOOGLETRANSLATE($A4,""en"",""pt-BR"")"),"Ativo")</f>
        <v>Ativo</v>
      </c>
    </row>
    <row r="5" spans="1:26" ht="15.75" customHeight="1" x14ac:dyDescent="0.15">
      <c r="A5" s="3" t="str">
        <f ca="1">IFERROR(__xludf.DUMMYFUNCTION("""COMPUTED_VALUE"""),"Inactive")</f>
        <v>Inactive</v>
      </c>
      <c r="B5" s="3" t="str">
        <f ca="1">IFERROR(__xludf.DUMMYFUNCTION("""COMPUTED_VALUE"""),"IACT")</f>
        <v>IACT</v>
      </c>
      <c r="C5" s="3" t="str">
        <f ca="1">IFERROR(__xludf.DUMMYFUNCTION("GOOGLETRANSLATE($A5,""en"",""de"")"),"Inaktiv")</f>
        <v>Inaktiv</v>
      </c>
      <c r="D5" s="3" t="str">
        <f ca="1">IFERROR(__xludf.DUMMYFUNCTION("GOOGLETRANSLATE($A5,""en"",""fr"")"),"Inactif")</f>
        <v>Inactif</v>
      </c>
      <c r="E5" s="3" t="str">
        <f ca="1">IFERROR(__xludf.DUMMYFUNCTION("GOOGLETRANSLATE($A5,""en"",""es"")"),"Inactivo")</f>
        <v>Inactivo</v>
      </c>
      <c r="F5" s="3" t="str">
        <f ca="1">IFERROR(__xludf.DUMMYFUNCTION("GOOGLETRANSLATE($A5,""en"",""it"")"),"Inattivo")</f>
        <v>Inattivo</v>
      </c>
      <c r="G5" s="3" t="str">
        <f ca="1">IFERROR(__xludf.DUMMYFUNCTION("GOOGLETRANSLATE($A5,""en"",""zh-cn"")"),"不活跃")</f>
        <v>不活跃</v>
      </c>
      <c r="H5" s="3" t="str">
        <f ca="1">IFERROR(__xludf.DUMMYFUNCTION("GOOGLETRANSLATE($A5,""en"",""ja"")"),"非活性")</f>
        <v>非活性</v>
      </c>
      <c r="I5" s="3" t="str">
        <f ca="1">IFERROR(__xludf.DUMMYFUNCTION("GOOGLETRANSLATE($A5,""en"",""ko"")"),"비활성")</f>
        <v>비활성</v>
      </c>
      <c r="J5" s="3" t="str">
        <f ca="1">IFERROR(__xludf.DUMMYFUNCTION("GOOGLETRANSLATE($A5,""en"",""pt-BR"")"),"Inativo")</f>
        <v>Inativo</v>
      </c>
    </row>
    <row r="6" spans="1:26" ht="15.75" customHeight="1" x14ac:dyDescent="0.15">
      <c r="A6" s="3"/>
      <c r="B6" s="3"/>
    </row>
    <row r="7" spans="1:26" ht="15.75" customHeight="1" x14ac:dyDescent="0.15">
      <c r="A7" s="3"/>
      <c r="B7" s="3"/>
      <c r="C7" s="3"/>
    </row>
    <row r="8" spans="1:26" ht="15.75" customHeight="1" x14ac:dyDescent="0.15">
      <c r="A8" s="3"/>
      <c r="B8" s="3"/>
      <c r="C8" s="3"/>
    </row>
    <row r="9" spans="1:26" ht="15.75" customHeight="1" x14ac:dyDescent="0.15">
      <c r="A9" s="3"/>
      <c r="B9" s="3"/>
      <c r="C9" s="3"/>
    </row>
    <row r="10" spans="1:26" ht="15.75" customHeight="1" x14ac:dyDescent="0.15">
      <c r="A10" s="3"/>
      <c r="B10" s="3"/>
      <c r="C10" s="3"/>
    </row>
    <row r="11" spans="1:26" ht="15.75" customHeight="1" x14ac:dyDescent="0.15">
      <c r="A11" s="3"/>
      <c r="B11" s="3"/>
      <c r="C11" s="3"/>
    </row>
    <row r="12" spans="1:26" ht="15.75" customHeight="1" x14ac:dyDescent="0.15">
      <c r="A12" s="3"/>
      <c r="B12" s="3"/>
      <c r="C12" s="3"/>
    </row>
    <row r="13" spans="1:26" ht="15.75" customHeight="1" x14ac:dyDescent="0.15">
      <c r="A13" s="3"/>
      <c r="B13" s="3"/>
      <c r="C13" s="3"/>
    </row>
    <row r="14" spans="1:26" ht="15.75" customHeight="1" x14ac:dyDescent="0.15">
      <c r="A14" s="3"/>
      <c r="B14" s="3"/>
      <c r="C14" s="3"/>
    </row>
    <row r="15" spans="1:26" ht="15.75" customHeight="1" x14ac:dyDescent="0.15">
      <c r="A15" s="3"/>
      <c r="B15" s="3"/>
      <c r="C15" s="3"/>
    </row>
    <row r="16" spans="1:26" ht="15.75" customHeight="1" x14ac:dyDescent="0.15">
      <c r="A16" s="3"/>
      <c r="B16" s="3"/>
      <c r="C16" s="3"/>
    </row>
    <row r="17" spans="1:3" ht="15.75" customHeight="1" x14ac:dyDescent="0.15">
      <c r="A17" s="3"/>
      <c r="B17" s="3"/>
      <c r="C17" s="3"/>
    </row>
    <row r="18" spans="1:3" ht="15.75" customHeight="1" x14ac:dyDescent="0.15">
      <c r="A18" s="3"/>
      <c r="B18" s="3"/>
      <c r="C18" s="3"/>
    </row>
    <row r="19" spans="1:3" ht="15.75" customHeight="1" x14ac:dyDescent="0.15">
      <c r="A19" s="3"/>
      <c r="B19" s="3"/>
      <c r="C19" s="3"/>
    </row>
    <row r="20" spans="1:3" ht="15.75" customHeight="1" x14ac:dyDescent="0.15">
      <c r="A20" s="3"/>
      <c r="B20" s="3"/>
      <c r="C20" s="3"/>
    </row>
    <row r="21" spans="1:3" ht="15.75" customHeight="1" x14ac:dyDescent="0.15">
      <c r="A21" s="3"/>
      <c r="B21" s="3"/>
    </row>
    <row r="22" spans="1:3" ht="15.75" customHeight="1" x14ac:dyDescent="0.15">
      <c r="A22" s="3"/>
      <c r="B22" s="3"/>
    </row>
    <row r="23" spans="1:3" ht="15.75" customHeight="1" x14ac:dyDescent="0.15">
      <c r="A23" s="3"/>
      <c r="B23" s="3"/>
    </row>
    <row r="24" spans="1:3" ht="15.75" customHeight="1" x14ac:dyDescent="0.15">
      <c r="A24" s="3"/>
      <c r="B24" s="3"/>
    </row>
    <row r="25" spans="1:3" ht="15.75" customHeight="1" x14ac:dyDescent="0.15">
      <c r="A25" s="3"/>
      <c r="B25" s="3"/>
    </row>
    <row r="26" spans="1:3" ht="15.75" customHeight="1" x14ac:dyDescent="0.15">
      <c r="A26" s="3"/>
      <c r="B26" s="3"/>
    </row>
    <row r="27" spans="1:3" ht="15.75" customHeight="1" x14ac:dyDescent="0.15">
      <c r="A27" s="3"/>
      <c r="B27" s="3"/>
    </row>
    <row r="28" spans="1:3" ht="15.75" customHeight="1" x14ac:dyDescent="0.15">
      <c r="A28" s="3"/>
      <c r="B28" s="3"/>
    </row>
    <row r="29" spans="1:3" ht="15.75" customHeight="1" x14ac:dyDescent="0.15">
      <c r="A29" s="3"/>
      <c r="B29" s="3"/>
    </row>
    <row r="30" spans="1:3" ht="15.75" customHeight="1" x14ac:dyDescent="0.15">
      <c r="A30" s="3"/>
      <c r="B30" s="3"/>
    </row>
    <row r="31" spans="1:3" ht="15.75" customHeight="1" x14ac:dyDescent="0.15">
      <c r="A31" s="3"/>
      <c r="B31" s="3"/>
    </row>
    <row r="32" spans="1:3" ht="15.75" customHeight="1" x14ac:dyDescent="0.15">
      <c r="A32" s="3"/>
      <c r="B32" s="3"/>
    </row>
    <row r="33" spans="1:2" ht="15.75" customHeight="1" x14ac:dyDescent="0.15">
      <c r="A33" s="3"/>
      <c r="B33" s="3"/>
    </row>
    <row r="34" spans="1:2" ht="15.75" customHeight="1" x14ac:dyDescent="0.15">
      <c r="A34" s="3"/>
      <c r="B34" s="3"/>
    </row>
    <row r="35" spans="1:2" ht="15.75" customHeight="1" x14ac:dyDescent="0.15">
      <c r="A35" s="3"/>
      <c r="B35" s="3"/>
    </row>
    <row r="36" spans="1:2" ht="15.75" customHeight="1" x14ac:dyDescent="0.15">
      <c r="A36" s="3"/>
      <c r="B36" s="3"/>
    </row>
    <row r="37" spans="1:2" ht="15.75" customHeight="1" x14ac:dyDescent="0.15">
      <c r="A37" s="3"/>
      <c r="B37" s="3"/>
    </row>
    <row r="38" spans="1:2" ht="15.75" customHeight="1" x14ac:dyDescent="0.15">
      <c r="A38" s="3"/>
      <c r="B38" s="3"/>
    </row>
    <row r="39" spans="1:2" ht="15.75" customHeight="1" x14ac:dyDescent="0.15">
      <c r="A39" s="3"/>
      <c r="B39" s="3"/>
    </row>
    <row r="40" spans="1:2" ht="15.75" customHeight="1" x14ac:dyDescent="0.15">
      <c r="A40" s="3"/>
      <c r="B40" s="3"/>
    </row>
    <row r="41" spans="1:2" ht="15.75" customHeight="1" x14ac:dyDescent="0.15">
      <c r="A41" s="3"/>
      <c r="B41" s="3"/>
    </row>
    <row r="42" spans="1:2" ht="15.75" customHeight="1" x14ac:dyDescent="0.15">
      <c r="A42" s="3"/>
      <c r="B42" s="3"/>
    </row>
    <row r="43" spans="1:2" ht="15.75" customHeight="1" x14ac:dyDescent="0.15">
      <c r="A43" s="3"/>
      <c r="B43" s="3"/>
    </row>
    <row r="44" spans="1:2" ht="15.75" customHeight="1" x14ac:dyDescent="0.15">
      <c r="A44" s="3"/>
      <c r="B44" s="3"/>
    </row>
    <row r="45" spans="1:2" ht="15.75" customHeight="1" x14ac:dyDescent="0.15">
      <c r="A45" s="3"/>
      <c r="B45" s="3"/>
    </row>
    <row r="46" spans="1:2" ht="15.75" customHeight="1" x14ac:dyDescent="0.15">
      <c r="A46" s="3"/>
      <c r="B46" s="3"/>
    </row>
    <row r="47" spans="1:2" ht="15.75" customHeight="1" x14ac:dyDescent="0.15">
      <c r="A47" s="3"/>
      <c r="B47" s="3"/>
    </row>
    <row r="48" spans="1:2" ht="15.75" customHeight="1" x14ac:dyDescent="0.15">
      <c r="A48" s="3"/>
      <c r="B48" s="3"/>
    </row>
    <row r="49" spans="1:2" ht="15.75" customHeight="1" x14ac:dyDescent="0.15">
      <c r="A49" s="3"/>
      <c r="B49" s="3"/>
    </row>
    <row r="50" spans="1:2" ht="15.75" customHeight="1" x14ac:dyDescent="0.15">
      <c r="A50" s="3"/>
      <c r="B50" s="3"/>
    </row>
    <row r="51" spans="1:2" ht="15.75" customHeight="1" x14ac:dyDescent="0.15">
      <c r="A51" s="3"/>
      <c r="B51" s="3"/>
    </row>
    <row r="52" spans="1:2" ht="15.75" customHeight="1" x14ac:dyDescent="0.15">
      <c r="A52" s="3"/>
      <c r="B52" s="3"/>
    </row>
    <row r="53" spans="1:2" ht="15.75" customHeight="1" x14ac:dyDescent="0.15">
      <c r="A53" s="3"/>
      <c r="B53" s="3"/>
    </row>
    <row r="54" spans="1:2" ht="15.75" customHeight="1" x14ac:dyDescent="0.15">
      <c r="A54" s="3"/>
      <c r="B54" s="3"/>
    </row>
    <row r="55" spans="1:2" ht="15.75" customHeight="1" x14ac:dyDescent="0.15">
      <c r="A55" s="3"/>
      <c r="B55" s="3"/>
    </row>
    <row r="56" spans="1:2" ht="15.75" customHeight="1" x14ac:dyDescent="0.15">
      <c r="A56" s="3"/>
      <c r="B56" s="3"/>
    </row>
    <row r="57" spans="1:2" ht="15.75" customHeight="1" x14ac:dyDescent="0.15">
      <c r="A57" s="3"/>
      <c r="B57" s="3"/>
    </row>
    <row r="58" spans="1:2" ht="15.75" customHeight="1" x14ac:dyDescent="0.15">
      <c r="A58" s="3"/>
      <c r="B58" s="3"/>
    </row>
    <row r="59" spans="1:2" ht="15.75" customHeight="1" x14ac:dyDescent="0.15">
      <c r="A59" s="3"/>
      <c r="B59" s="3"/>
    </row>
    <row r="60" spans="1:2" ht="13" x14ac:dyDescent="0.15">
      <c r="A60" s="3"/>
      <c r="B60" s="3"/>
    </row>
    <row r="61" spans="1:2" ht="13" x14ac:dyDescent="0.15">
      <c r="A61" s="3"/>
      <c r="B61" s="3"/>
    </row>
    <row r="62" spans="1:2" ht="13" x14ac:dyDescent="0.15">
      <c r="A62" s="3"/>
      <c r="B62" s="3"/>
    </row>
    <row r="63" spans="1:2" ht="13" x14ac:dyDescent="0.15">
      <c r="A63" s="3"/>
      <c r="B63" s="3"/>
    </row>
    <row r="64" spans="1:2" ht="13" x14ac:dyDescent="0.15">
      <c r="A64" s="3"/>
      <c r="B64" s="3"/>
    </row>
    <row r="65" spans="1:2" ht="13" x14ac:dyDescent="0.15">
      <c r="A65" s="3"/>
      <c r="B65" s="3"/>
    </row>
    <row r="66" spans="1:2" ht="13" x14ac:dyDescent="0.15">
      <c r="A66" s="3"/>
      <c r="B66" s="3"/>
    </row>
    <row r="67" spans="1:2" ht="13" x14ac:dyDescent="0.15">
      <c r="A67" s="3"/>
      <c r="B67" s="3"/>
    </row>
    <row r="68" spans="1:2" ht="13" x14ac:dyDescent="0.15">
      <c r="A68" s="3"/>
      <c r="B68" s="3"/>
    </row>
    <row r="69" spans="1:2" ht="13" x14ac:dyDescent="0.15">
      <c r="A69" s="3"/>
      <c r="B69" s="3"/>
    </row>
    <row r="70" spans="1:2" ht="13" x14ac:dyDescent="0.15">
      <c r="A70" s="3"/>
      <c r="B70" s="3"/>
    </row>
    <row r="71" spans="1:2" ht="13" x14ac:dyDescent="0.15">
      <c r="A71" s="3"/>
      <c r="B71" s="3"/>
    </row>
    <row r="72" spans="1:2" ht="13" x14ac:dyDescent="0.15">
      <c r="A72" s="3"/>
      <c r="B72" s="3"/>
    </row>
    <row r="73" spans="1:2" ht="13" x14ac:dyDescent="0.15">
      <c r="A73" s="3"/>
      <c r="B73" s="3"/>
    </row>
    <row r="74" spans="1:2" ht="13" x14ac:dyDescent="0.15">
      <c r="A74" s="3"/>
      <c r="B74" s="3"/>
    </row>
    <row r="75" spans="1:2" ht="13" x14ac:dyDescent="0.15">
      <c r="A75" s="3"/>
      <c r="B75" s="3"/>
    </row>
    <row r="76" spans="1:2" ht="13" x14ac:dyDescent="0.15">
      <c r="A76" s="3"/>
      <c r="B76" s="3"/>
    </row>
    <row r="77" spans="1:2" ht="13" x14ac:dyDescent="0.15">
      <c r="A77" s="3"/>
      <c r="B77" s="3"/>
    </row>
    <row r="78" spans="1:2" ht="13" x14ac:dyDescent="0.15">
      <c r="A78" s="3"/>
      <c r="B78" s="3"/>
    </row>
    <row r="79" spans="1:2" ht="13" x14ac:dyDescent="0.15">
      <c r="A79" s="3"/>
      <c r="B79" s="3"/>
    </row>
    <row r="80" spans="1:2"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row r="981" spans="1:2" ht="13" x14ac:dyDescent="0.15">
      <c r="A981" s="3"/>
      <c r="B981"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83"/>
  <sheetViews>
    <sheetView workbookViewId="0">
      <selection activeCell="C14" sqref="C14"/>
    </sheetView>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0.1, May 1, 2024</v>
      </c>
      <c r="B1" s="2"/>
      <c r="C1" s="2"/>
      <c r="D1" s="3"/>
      <c r="E1" s="3"/>
      <c r="F1" s="2"/>
      <c r="G1" s="2"/>
      <c r="H1" s="2"/>
      <c r="I1" s="2"/>
      <c r="J1" s="2"/>
      <c r="K1" s="2"/>
      <c r="L1" s="2"/>
      <c r="M1" s="2"/>
      <c r="N1" s="2"/>
      <c r="O1" s="2"/>
      <c r="P1" s="2"/>
      <c r="Q1" s="2"/>
      <c r="R1" s="2"/>
      <c r="S1" s="2"/>
      <c r="T1" s="2"/>
      <c r="U1" s="2"/>
      <c r="V1" s="2"/>
      <c r="W1" s="2"/>
      <c r="X1" s="2"/>
      <c r="Y1" s="2"/>
    </row>
    <row r="2" spans="1:26" x14ac:dyDescent="0.2">
      <c r="A2" s="4" t="s">
        <v>37</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5" t="s">
        <v>14</v>
      </c>
      <c r="B3" s="5" t="s">
        <v>2</v>
      </c>
      <c r="C3" s="5" t="s">
        <v>4</v>
      </c>
      <c r="D3" s="5" t="s">
        <v>5</v>
      </c>
      <c r="E3" s="5" t="s">
        <v>6</v>
      </c>
      <c r="F3" s="5" t="s">
        <v>7</v>
      </c>
      <c r="G3" s="5" t="s">
        <v>8</v>
      </c>
      <c r="H3" s="5" t="s">
        <v>9</v>
      </c>
      <c r="I3" s="5" t="s">
        <v>10</v>
      </c>
      <c r="J3" s="5" t="s">
        <v>11</v>
      </c>
      <c r="K3" s="5"/>
      <c r="L3" s="5"/>
      <c r="M3" s="5"/>
      <c r="N3" s="5"/>
      <c r="O3" s="5"/>
      <c r="P3" s="5"/>
      <c r="Q3" s="5"/>
      <c r="R3" s="5"/>
      <c r="S3" s="5"/>
      <c r="T3" s="5"/>
      <c r="U3" s="5"/>
      <c r="V3" s="5"/>
      <c r="W3" s="5"/>
      <c r="X3" s="7"/>
      <c r="Y3" s="7"/>
      <c r="Z3" s="7"/>
    </row>
    <row r="4" spans="1:26" ht="15.75" customHeight="1" x14ac:dyDescent="0.15">
      <c r="A4" s="3" t="str">
        <f ca="1">IFERROR(__xludf.DUMMYFUNCTION("IMPORTRANGE(""https://docs.google.com/spreadsheets/d/1C7ebseLw3CypDIkJDJaWHHfWiV3njB56moaBb7gLWo8"",""Level Items!A4:A"")"),"Level 1")</f>
        <v>Level 1</v>
      </c>
      <c r="B4" s="15">
        <v>1</v>
      </c>
      <c r="C4" s="3" t="str">
        <f ca="1">IFERROR(__xludf.DUMMYFUNCTION("GOOGLETRANSLATE($A4,""en"",""de"")"),"Level 1")</f>
        <v>Level 1</v>
      </c>
      <c r="D4" s="3" t="str">
        <f ca="1">IFERROR(__xludf.DUMMYFUNCTION("GOOGLETRANSLATE($A4,""en"",""fr"")"),"Niveau 1")</f>
        <v>Niveau 1</v>
      </c>
      <c r="E4" s="3" t="str">
        <f ca="1">IFERROR(__xludf.DUMMYFUNCTION("GOOGLETRANSLATE($A4,""en"",""es"")"),"Nivel 1")</f>
        <v>Nivel 1</v>
      </c>
      <c r="F4" s="3" t="str">
        <f ca="1">IFERROR(__xludf.DUMMYFUNCTION("GOOGLETRANSLATE($A4,""en"",""it"")"),"Livello 1")</f>
        <v>Livello 1</v>
      </c>
      <c r="G4" s="3" t="str">
        <f ca="1">IFERROR(__xludf.DUMMYFUNCTION("GOOGLETRANSLATE($A4,""en"",""zh-cn"")"),"1级")</f>
        <v>1级</v>
      </c>
      <c r="H4" s="3" t="str">
        <f ca="1">IFERROR(__xludf.DUMMYFUNCTION("GOOGLETRANSLATE($A4,""en"",""ja"")"),"レベル1")</f>
        <v>レベル1</v>
      </c>
      <c r="I4" s="3" t="str">
        <f ca="1">IFERROR(__xludf.DUMMYFUNCTION("GOOGLETRANSLATE($A4,""en"",""ko"")"),"레벨 1")</f>
        <v>레벨 1</v>
      </c>
      <c r="J4" s="3" t="str">
        <f ca="1">IFERROR(__xludf.DUMMYFUNCTION("GOOGLETRANSLATE($A4,""en"",""pt-BR"")"),"Nível 1")</f>
        <v>Nível 1</v>
      </c>
    </row>
    <row r="5" spans="1:26" ht="15.75" customHeight="1" x14ac:dyDescent="0.15">
      <c r="A5" s="3" t="str">
        <f ca="1">IFERROR(__xludf.DUMMYFUNCTION("""COMPUTED_VALUE"""),"Level 2")</f>
        <v>Level 2</v>
      </c>
      <c r="B5" s="15">
        <v>2</v>
      </c>
      <c r="C5" s="3" t="str">
        <f ca="1">IFERROR(__xludf.DUMMYFUNCTION("GOOGLETRANSLATE($A5,""en"",""de"")"),"Level 2")</f>
        <v>Level 2</v>
      </c>
      <c r="D5" s="3" t="str">
        <f ca="1">IFERROR(__xludf.DUMMYFUNCTION("GOOGLETRANSLATE($A5,""en"",""fr"")"),"Niveau 2")</f>
        <v>Niveau 2</v>
      </c>
      <c r="E5" s="3" t="str">
        <f ca="1">IFERROR(__xludf.DUMMYFUNCTION("GOOGLETRANSLATE($A5,""en"",""es"")"),"Nivel 2")</f>
        <v>Nivel 2</v>
      </c>
      <c r="F5" s="3" t="str">
        <f ca="1">IFERROR(__xludf.DUMMYFUNCTION("GOOGLETRANSLATE($A5,""en"",""it"")"),"Livello 2")</f>
        <v>Livello 2</v>
      </c>
      <c r="G5" s="3" t="str">
        <f ca="1">IFERROR(__xludf.DUMMYFUNCTION("GOOGLETRANSLATE($A5,""en"",""zh-cn"")"),"2级")</f>
        <v>2级</v>
      </c>
      <c r="H5" s="3" t="str">
        <f ca="1">IFERROR(__xludf.DUMMYFUNCTION("GOOGLETRANSLATE($A5,""en"",""ja"")"),"レベル2")</f>
        <v>レベル2</v>
      </c>
      <c r="I5" s="3" t="str">
        <f ca="1">IFERROR(__xludf.DUMMYFUNCTION("GOOGLETRANSLATE($A5,""en"",""ko"")"),"2 단계")</f>
        <v>2 단계</v>
      </c>
      <c r="J5" s="3" t="str">
        <f ca="1">IFERROR(__xludf.DUMMYFUNCTION("GOOGLETRANSLATE($A5,""en"",""pt-BR"")"),"Nível 2")</f>
        <v>Nível 2</v>
      </c>
    </row>
    <row r="6" spans="1:26" ht="15.75" customHeight="1" x14ac:dyDescent="0.15">
      <c r="A6" s="3" t="str">
        <f ca="1">IFERROR(__xludf.DUMMYFUNCTION("""COMPUTED_VALUE"""),"Level 3")</f>
        <v>Level 3</v>
      </c>
      <c r="B6" s="15">
        <v>3</v>
      </c>
      <c r="C6" s="3" t="str">
        <f ca="1">IFERROR(__xludf.DUMMYFUNCTION("GOOGLETRANSLATE($A6,""en"",""de"")"),"Stufe 3")</f>
        <v>Stufe 3</v>
      </c>
      <c r="D6" s="3" t="str">
        <f ca="1">IFERROR(__xludf.DUMMYFUNCTION("GOOGLETRANSLATE($A6,""en"",""fr"")"),"Niveau 3")</f>
        <v>Niveau 3</v>
      </c>
      <c r="E6" s="3" t="str">
        <f ca="1">IFERROR(__xludf.DUMMYFUNCTION("GOOGLETRANSLATE($A6,""en"",""es"")"),"Nivel 3")</f>
        <v>Nivel 3</v>
      </c>
      <c r="F6" s="3" t="str">
        <f ca="1">IFERROR(__xludf.DUMMYFUNCTION("GOOGLETRANSLATE($A6,""en"",""it"")"),"Livello 3")</f>
        <v>Livello 3</v>
      </c>
      <c r="G6" s="3" t="str">
        <f ca="1">IFERROR(__xludf.DUMMYFUNCTION("GOOGLETRANSLATE($A6,""en"",""zh-cn"")"),"3级")</f>
        <v>3级</v>
      </c>
      <c r="H6" s="3" t="str">
        <f ca="1">IFERROR(__xludf.DUMMYFUNCTION("GOOGLETRANSLATE($A6,""en"",""ja"")"),"レベル3")</f>
        <v>レベル3</v>
      </c>
      <c r="I6" s="3" t="str">
        <f ca="1">IFERROR(__xludf.DUMMYFUNCTION("GOOGLETRANSLATE($A6,""en"",""ko"")"),"레벨 3")</f>
        <v>레벨 3</v>
      </c>
      <c r="J6" s="3" t="str">
        <f ca="1">IFERROR(__xludf.DUMMYFUNCTION("GOOGLETRANSLATE($A6,""en"",""pt-BR"")"),"Nível 3")</f>
        <v>Nível 3</v>
      </c>
    </row>
    <row r="7" spans="1:26" ht="15.75" customHeight="1" x14ac:dyDescent="0.15">
      <c r="A7" s="3" t="str">
        <f ca="1">IFERROR(__xludf.DUMMYFUNCTION("""COMPUTED_VALUE"""),"Level 4")</f>
        <v>Level 4</v>
      </c>
      <c r="B7" s="15">
        <v>4</v>
      </c>
      <c r="C7" s="3" t="str">
        <f ca="1">IFERROR(__xludf.DUMMYFUNCTION("GOOGLETRANSLATE($A7,""en"",""de"")"),"Level 4")</f>
        <v>Level 4</v>
      </c>
      <c r="D7" s="3" t="str">
        <f ca="1">IFERROR(__xludf.DUMMYFUNCTION("GOOGLETRANSLATE($A7,""en"",""fr"")"),"Niveau 4")</f>
        <v>Niveau 4</v>
      </c>
      <c r="E7" s="3" t="str">
        <f ca="1">IFERROR(__xludf.DUMMYFUNCTION("GOOGLETRANSLATE($A7,""en"",""es"")"),"Nivel 4")</f>
        <v>Nivel 4</v>
      </c>
      <c r="F7" s="3" t="str">
        <f ca="1">IFERROR(__xludf.DUMMYFUNCTION("GOOGLETRANSLATE($A7,""en"",""it"")"),"Livello 4")</f>
        <v>Livello 4</v>
      </c>
      <c r="G7" s="3" t="str">
        <f ca="1">IFERROR(__xludf.DUMMYFUNCTION("GOOGLETRANSLATE($A7,""en"",""zh-cn"")"),"4级")</f>
        <v>4级</v>
      </c>
      <c r="H7" s="3" t="str">
        <f ca="1">IFERROR(__xludf.DUMMYFUNCTION("GOOGLETRANSLATE($A7,""en"",""ja"")"),"レベル4")</f>
        <v>レベル4</v>
      </c>
      <c r="I7" s="3" t="str">
        <f ca="1">IFERROR(__xludf.DUMMYFUNCTION("GOOGLETRANSLATE($A7,""en"",""ko"")"),"레벨 4")</f>
        <v>레벨 4</v>
      </c>
      <c r="J7" s="3" t="str">
        <f ca="1">IFERROR(__xludf.DUMMYFUNCTION("GOOGLETRANSLATE($A7,""en"",""pt-BR"")"),"Nível 4")</f>
        <v>Nível 4</v>
      </c>
    </row>
    <row r="8" spans="1:26" ht="15.75" customHeight="1" x14ac:dyDescent="0.15">
      <c r="A8" s="3" t="str">
        <f ca="1">IFERROR(__xludf.DUMMYFUNCTION("""COMPUTED_VALUE"""),"Level 5")</f>
        <v>Level 5</v>
      </c>
      <c r="B8" s="15">
        <v>5</v>
      </c>
      <c r="C8" s="3" t="str">
        <f ca="1">IFERROR(__xludf.DUMMYFUNCTION("GOOGLETRANSLATE($A8,""en"",""de"")"),"Level 5")</f>
        <v>Level 5</v>
      </c>
      <c r="D8" s="3" t="str">
        <f ca="1">IFERROR(__xludf.DUMMYFUNCTION("GOOGLETRANSLATE($A8,""en"",""fr"")"),"Niveau 5")</f>
        <v>Niveau 5</v>
      </c>
      <c r="E8" s="3" t="str">
        <f ca="1">IFERROR(__xludf.DUMMYFUNCTION("GOOGLETRANSLATE($A8,""en"",""es"")"),"Nivel 5")</f>
        <v>Nivel 5</v>
      </c>
      <c r="F8" s="3" t="str">
        <f ca="1">IFERROR(__xludf.DUMMYFUNCTION("GOOGLETRANSLATE($A8,""en"",""it"")"),"Livello 5")</f>
        <v>Livello 5</v>
      </c>
      <c r="G8" s="3" t="str">
        <f ca="1">IFERROR(__xludf.DUMMYFUNCTION("GOOGLETRANSLATE($A8,""en"",""zh-cn"")"),"5级")</f>
        <v>5级</v>
      </c>
      <c r="H8" s="3" t="str">
        <f ca="1">IFERROR(__xludf.DUMMYFUNCTION("GOOGLETRANSLATE($A8,""en"",""ja"")"),"レベル5")</f>
        <v>レベル5</v>
      </c>
      <c r="I8" s="3" t="str">
        <f ca="1">IFERROR(__xludf.DUMMYFUNCTION("GOOGLETRANSLATE($A8,""en"",""ko"")"),"레벨 5")</f>
        <v>레벨 5</v>
      </c>
      <c r="J8" s="3" t="str">
        <f ca="1">IFERROR(__xludf.DUMMYFUNCTION("GOOGLETRANSLATE($A8,""en"",""pt-BR"")"),"Nível 5")</f>
        <v>Nível 5</v>
      </c>
    </row>
    <row r="9" spans="1:26" ht="15.75" customHeight="1" x14ac:dyDescent="0.15">
      <c r="A9" s="3"/>
    </row>
    <row r="10" spans="1:26" ht="15.75" customHeight="1" x14ac:dyDescent="0.15">
      <c r="A10" s="3"/>
      <c r="B10" s="3"/>
      <c r="C10" s="3"/>
    </row>
    <row r="11" spans="1:26" ht="15.75" customHeight="1" x14ac:dyDescent="0.15">
      <c r="A11" s="3"/>
      <c r="B11" s="3"/>
      <c r="C11" s="3"/>
    </row>
    <row r="12" spans="1:26" ht="15.75" customHeight="1" x14ac:dyDescent="0.15">
      <c r="A12" s="3"/>
      <c r="B12" s="3"/>
      <c r="C12" s="3"/>
    </row>
    <row r="13" spans="1:26" ht="15.75" customHeight="1" x14ac:dyDescent="0.15">
      <c r="A13" s="3"/>
      <c r="B13" s="3"/>
      <c r="C13" s="3"/>
    </row>
    <row r="14" spans="1:26" ht="15.75" customHeight="1" x14ac:dyDescent="0.15">
      <c r="A14" s="3"/>
      <c r="B14" s="3"/>
      <c r="C14" s="3"/>
    </row>
    <row r="15" spans="1:26" ht="15.75" customHeight="1" x14ac:dyDescent="0.15">
      <c r="A15" s="3"/>
      <c r="B15" s="3"/>
      <c r="C15" s="3"/>
    </row>
    <row r="16" spans="1:26" ht="15.75" customHeight="1" x14ac:dyDescent="0.15">
      <c r="A16" s="3"/>
      <c r="B16" s="3"/>
      <c r="C16" s="3"/>
    </row>
    <row r="17" spans="1:3" ht="15.75" customHeight="1" x14ac:dyDescent="0.15">
      <c r="A17" s="3"/>
      <c r="B17" s="3"/>
      <c r="C17" s="3"/>
    </row>
    <row r="18" spans="1:3" ht="15.75" customHeight="1" x14ac:dyDescent="0.15">
      <c r="A18" s="3"/>
      <c r="B18" s="3"/>
      <c r="C18" s="3"/>
    </row>
    <row r="19" spans="1:3" ht="15.75" customHeight="1" x14ac:dyDescent="0.15">
      <c r="A19" s="3"/>
      <c r="B19" s="3"/>
      <c r="C19" s="3"/>
    </row>
    <row r="20" spans="1:3" ht="15.75" customHeight="1" x14ac:dyDescent="0.15">
      <c r="A20" s="3"/>
      <c r="B20" s="3"/>
      <c r="C20" s="3"/>
    </row>
    <row r="21" spans="1:3" ht="15.75" customHeight="1" x14ac:dyDescent="0.15">
      <c r="A21" s="3"/>
      <c r="B21" s="3"/>
      <c r="C21" s="3"/>
    </row>
    <row r="22" spans="1:3" ht="15.75" customHeight="1" x14ac:dyDescent="0.15">
      <c r="A22" s="3"/>
      <c r="B22" s="3"/>
      <c r="C22" s="3"/>
    </row>
    <row r="23" spans="1:3" ht="15.75" customHeight="1" x14ac:dyDescent="0.15">
      <c r="A23" s="3"/>
    </row>
    <row r="24" spans="1:3" ht="15.75" customHeight="1" x14ac:dyDescent="0.15">
      <c r="A24" s="3"/>
    </row>
    <row r="25" spans="1:3" ht="15.75" customHeight="1" x14ac:dyDescent="0.15">
      <c r="A25" s="3"/>
    </row>
    <row r="26" spans="1:3" ht="15.75" customHeight="1" x14ac:dyDescent="0.15">
      <c r="A26" s="3"/>
    </row>
    <row r="27" spans="1:3" ht="15.75" customHeight="1" x14ac:dyDescent="0.15">
      <c r="A27" s="3"/>
    </row>
    <row r="28" spans="1:3" ht="15.75" customHeight="1" x14ac:dyDescent="0.15">
      <c r="A28" s="3"/>
    </row>
    <row r="29" spans="1:3" ht="15.75" customHeight="1" x14ac:dyDescent="0.15">
      <c r="A29" s="3"/>
    </row>
    <row r="30" spans="1:3" ht="15.75" customHeight="1" x14ac:dyDescent="0.15">
      <c r="A30" s="3"/>
    </row>
    <row r="31" spans="1:3" ht="15.75" customHeight="1" x14ac:dyDescent="0.15">
      <c r="A31" s="3"/>
    </row>
    <row r="32" spans="1:3"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3" x14ac:dyDescent="0.15">
      <c r="A60" s="3"/>
    </row>
    <row r="61" spans="1:1" ht="13" x14ac:dyDescent="0.15">
      <c r="A61" s="3"/>
    </row>
    <row r="62" spans="1:1" ht="13" x14ac:dyDescent="0.15">
      <c r="A62" s="3"/>
    </row>
    <row r="63" spans="1:1" ht="13" x14ac:dyDescent="0.15">
      <c r="A63" s="3"/>
    </row>
    <row r="64" spans="1:1" ht="13" x14ac:dyDescent="0.15">
      <c r="A64" s="3"/>
    </row>
    <row r="65" spans="1:1" ht="13" x14ac:dyDescent="0.15">
      <c r="A65" s="3"/>
    </row>
    <row r="66" spans="1:1" ht="13" x14ac:dyDescent="0.15">
      <c r="A66" s="3"/>
    </row>
    <row r="67" spans="1:1" ht="13" x14ac:dyDescent="0.15">
      <c r="A67" s="3"/>
    </row>
    <row r="68" spans="1:1" ht="13" x14ac:dyDescent="0.15">
      <c r="A68" s="3"/>
    </row>
    <row r="69" spans="1:1" ht="13" x14ac:dyDescent="0.15">
      <c r="A69" s="3"/>
    </row>
    <row r="70" spans="1:1" ht="13" x14ac:dyDescent="0.15">
      <c r="A70" s="3"/>
    </row>
    <row r="71" spans="1:1" ht="13" x14ac:dyDescent="0.15">
      <c r="A71" s="3"/>
    </row>
    <row r="72" spans="1:1" ht="13" x14ac:dyDescent="0.15">
      <c r="A72" s="3"/>
    </row>
    <row r="73" spans="1:1" ht="13" x14ac:dyDescent="0.15">
      <c r="A73" s="3"/>
    </row>
    <row r="74" spans="1:1" ht="13" x14ac:dyDescent="0.15">
      <c r="A74" s="3"/>
    </row>
    <row r="75" spans="1:1" ht="13" x14ac:dyDescent="0.15">
      <c r="A75" s="3"/>
    </row>
    <row r="76" spans="1:1" ht="13" x14ac:dyDescent="0.15">
      <c r="A76" s="3"/>
    </row>
    <row r="77" spans="1:1" ht="13" x14ac:dyDescent="0.15">
      <c r="A77" s="3"/>
    </row>
    <row r="78" spans="1:1" ht="13" x14ac:dyDescent="0.15">
      <c r="A78" s="3"/>
    </row>
    <row r="79" spans="1:1" ht="13" x14ac:dyDescent="0.15">
      <c r="A79" s="3"/>
    </row>
    <row r="80" spans="1:1" ht="13" x14ac:dyDescent="0.15">
      <c r="A80" s="3"/>
    </row>
    <row r="81" spans="1:1" ht="13" x14ac:dyDescent="0.15">
      <c r="A81" s="3"/>
    </row>
    <row r="82" spans="1:1" ht="13" x14ac:dyDescent="0.15">
      <c r="A82" s="3"/>
    </row>
    <row r="83" spans="1:1" ht="13" x14ac:dyDescent="0.15">
      <c r="A83" s="3"/>
    </row>
    <row r="84" spans="1:1" ht="13" x14ac:dyDescent="0.15">
      <c r="A84" s="3"/>
    </row>
    <row r="85" spans="1:1" ht="13" x14ac:dyDescent="0.15">
      <c r="A85" s="3"/>
    </row>
    <row r="86" spans="1:1" ht="13" x14ac:dyDescent="0.15">
      <c r="A86" s="3"/>
    </row>
    <row r="87" spans="1:1" ht="13" x14ac:dyDescent="0.15">
      <c r="A87" s="3"/>
    </row>
    <row r="88" spans="1:1" ht="13" x14ac:dyDescent="0.15">
      <c r="A88" s="3"/>
    </row>
    <row r="89" spans="1:1" ht="13" x14ac:dyDescent="0.15">
      <c r="A89" s="3"/>
    </row>
    <row r="90" spans="1:1" ht="13" x14ac:dyDescent="0.15">
      <c r="A90" s="3"/>
    </row>
    <row r="91" spans="1:1" ht="13" x14ac:dyDescent="0.15">
      <c r="A91" s="3"/>
    </row>
    <row r="92" spans="1:1" ht="13" x14ac:dyDescent="0.15">
      <c r="A92" s="3"/>
    </row>
    <row r="93" spans="1:1" ht="13" x14ac:dyDescent="0.15">
      <c r="A93" s="3"/>
    </row>
    <row r="94" spans="1:1" ht="13" x14ac:dyDescent="0.15">
      <c r="A94" s="3"/>
    </row>
    <row r="95" spans="1:1" ht="13" x14ac:dyDescent="0.15">
      <c r="A95" s="3"/>
    </row>
    <row r="96" spans="1:1" ht="13" x14ac:dyDescent="0.15">
      <c r="A96" s="3"/>
    </row>
    <row r="97" spans="1:1" ht="13" x14ac:dyDescent="0.15">
      <c r="A97" s="3"/>
    </row>
    <row r="98" spans="1:1" ht="13" x14ac:dyDescent="0.15">
      <c r="A98" s="3"/>
    </row>
    <row r="99" spans="1:1" ht="13" x14ac:dyDescent="0.15">
      <c r="A99" s="3"/>
    </row>
    <row r="100" spans="1:1" ht="13" x14ac:dyDescent="0.15">
      <c r="A100" s="3"/>
    </row>
    <row r="101" spans="1:1" ht="13" x14ac:dyDescent="0.15">
      <c r="A101" s="3"/>
    </row>
    <row r="102" spans="1:1" ht="13" x14ac:dyDescent="0.15">
      <c r="A102" s="3"/>
    </row>
    <row r="103" spans="1:1" ht="13" x14ac:dyDescent="0.15">
      <c r="A103" s="3"/>
    </row>
    <row r="104" spans="1:1" ht="13" x14ac:dyDescent="0.15">
      <c r="A104" s="3"/>
    </row>
    <row r="105" spans="1:1" ht="13" x14ac:dyDescent="0.15">
      <c r="A105" s="3"/>
    </row>
    <row r="106" spans="1:1" ht="13" x14ac:dyDescent="0.15">
      <c r="A106" s="3"/>
    </row>
    <row r="107" spans="1:1" ht="13" x14ac:dyDescent="0.15">
      <c r="A107" s="3"/>
    </row>
    <row r="108" spans="1:1" ht="13" x14ac:dyDescent="0.15">
      <c r="A108" s="3"/>
    </row>
    <row r="109" spans="1:1" ht="13" x14ac:dyDescent="0.15">
      <c r="A109" s="3"/>
    </row>
    <row r="110" spans="1:1" ht="13" x14ac:dyDescent="0.15">
      <c r="A110" s="3"/>
    </row>
    <row r="111" spans="1:1" ht="13" x14ac:dyDescent="0.15">
      <c r="A111" s="3"/>
    </row>
    <row r="112" spans="1:1" ht="13" x14ac:dyDescent="0.15">
      <c r="A112" s="3"/>
    </row>
    <row r="113" spans="1:1" ht="13" x14ac:dyDescent="0.15">
      <c r="A113" s="3"/>
    </row>
    <row r="114" spans="1:1" ht="13" x14ac:dyDescent="0.15">
      <c r="A114" s="3"/>
    </row>
    <row r="115" spans="1:1" ht="13" x14ac:dyDescent="0.15">
      <c r="A115" s="3"/>
    </row>
    <row r="116" spans="1:1" ht="13" x14ac:dyDescent="0.15">
      <c r="A116" s="3"/>
    </row>
    <row r="117" spans="1:1" ht="13" x14ac:dyDescent="0.15">
      <c r="A117" s="3"/>
    </row>
    <row r="118" spans="1:1" ht="13" x14ac:dyDescent="0.15">
      <c r="A118" s="3"/>
    </row>
    <row r="119" spans="1:1" ht="13" x14ac:dyDescent="0.15">
      <c r="A119" s="3"/>
    </row>
    <row r="120" spans="1:1" ht="13" x14ac:dyDescent="0.15">
      <c r="A120" s="3"/>
    </row>
    <row r="121" spans="1:1" ht="13" x14ac:dyDescent="0.15">
      <c r="A121" s="3"/>
    </row>
    <row r="122" spans="1:1" ht="13" x14ac:dyDescent="0.15">
      <c r="A122" s="3"/>
    </row>
    <row r="123" spans="1:1" ht="13" x14ac:dyDescent="0.15">
      <c r="A123" s="3"/>
    </row>
    <row r="124" spans="1:1" ht="13" x14ac:dyDescent="0.15">
      <c r="A124" s="3"/>
    </row>
    <row r="125" spans="1:1" ht="13" x14ac:dyDescent="0.15">
      <c r="A125" s="3"/>
    </row>
    <row r="126" spans="1:1" ht="13" x14ac:dyDescent="0.15">
      <c r="A126" s="3"/>
    </row>
    <row r="127" spans="1:1" ht="13" x14ac:dyDescent="0.15">
      <c r="A127" s="3"/>
    </row>
    <row r="128" spans="1:1" ht="13" x14ac:dyDescent="0.15">
      <c r="A128" s="3"/>
    </row>
    <row r="129" spans="1:1" ht="13" x14ac:dyDescent="0.15">
      <c r="A129" s="3"/>
    </row>
    <row r="130" spans="1:1" ht="13" x14ac:dyDescent="0.15">
      <c r="A130" s="3"/>
    </row>
    <row r="131" spans="1:1" ht="13" x14ac:dyDescent="0.15">
      <c r="A131" s="3"/>
    </row>
    <row r="132" spans="1:1" ht="13" x14ac:dyDescent="0.15">
      <c r="A132" s="3"/>
    </row>
    <row r="133" spans="1:1" ht="13" x14ac:dyDescent="0.15">
      <c r="A133" s="3"/>
    </row>
    <row r="134" spans="1:1" ht="13" x14ac:dyDescent="0.15">
      <c r="A134" s="3"/>
    </row>
    <row r="135" spans="1:1" ht="13" x14ac:dyDescent="0.15">
      <c r="A135" s="3"/>
    </row>
    <row r="136" spans="1:1" ht="13" x14ac:dyDescent="0.15">
      <c r="A136" s="3"/>
    </row>
    <row r="137" spans="1:1" ht="13" x14ac:dyDescent="0.15">
      <c r="A137" s="3"/>
    </row>
    <row r="138" spans="1:1" ht="13" x14ac:dyDescent="0.15">
      <c r="A138" s="3"/>
    </row>
    <row r="139" spans="1:1" ht="13" x14ac:dyDescent="0.15">
      <c r="A139" s="3"/>
    </row>
    <row r="140" spans="1:1" ht="13" x14ac:dyDescent="0.15">
      <c r="A140" s="3"/>
    </row>
    <row r="141" spans="1:1" ht="13" x14ac:dyDescent="0.15">
      <c r="A141" s="3"/>
    </row>
    <row r="142" spans="1:1" ht="13" x14ac:dyDescent="0.15">
      <c r="A142" s="3"/>
    </row>
    <row r="143" spans="1:1" ht="13" x14ac:dyDescent="0.15">
      <c r="A143" s="3"/>
    </row>
    <row r="144" spans="1:1" ht="13" x14ac:dyDescent="0.15">
      <c r="A144" s="3"/>
    </row>
    <row r="145" spans="1:1" ht="13" x14ac:dyDescent="0.15">
      <c r="A145" s="3"/>
    </row>
    <row r="146" spans="1:1" ht="13" x14ac:dyDescent="0.15">
      <c r="A146" s="3"/>
    </row>
    <row r="147" spans="1:1" ht="13" x14ac:dyDescent="0.15">
      <c r="A147" s="3"/>
    </row>
    <row r="148" spans="1:1" ht="13" x14ac:dyDescent="0.15">
      <c r="A148" s="3"/>
    </row>
    <row r="149" spans="1:1" ht="13" x14ac:dyDescent="0.15">
      <c r="A149" s="3"/>
    </row>
    <row r="150" spans="1:1" ht="13" x14ac:dyDescent="0.15">
      <c r="A150" s="3"/>
    </row>
    <row r="151" spans="1:1" ht="13" x14ac:dyDescent="0.15">
      <c r="A151" s="3"/>
    </row>
    <row r="152" spans="1:1" ht="13" x14ac:dyDescent="0.15">
      <c r="A152" s="3"/>
    </row>
    <row r="153" spans="1:1" ht="13" x14ac:dyDescent="0.15">
      <c r="A153" s="3"/>
    </row>
    <row r="154" spans="1:1" ht="13" x14ac:dyDescent="0.15">
      <c r="A154" s="3"/>
    </row>
    <row r="155" spans="1:1" ht="13" x14ac:dyDescent="0.15">
      <c r="A155" s="3"/>
    </row>
    <row r="156" spans="1:1" ht="13" x14ac:dyDescent="0.15">
      <c r="A156" s="3"/>
    </row>
    <row r="157" spans="1:1" ht="13" x14ac:dyDescent="0.15">
      <c r="A157" s="3"/>
    </row>
    <row r="158" spans="1:1" ht="13" x14ac:dyDescent="0.15">
      <c r="A158" s="3"/>
    </row>
    <row r="159" spans="1:1" ht="13" x14ac:dyDescent="0.15">
      <c r="A159" s="3"/>
    </row>
    <row r="160" spans="1:1" ht="13" x14ac:dyDescent="0.15">
      <c r="A160" s="3"/>
    </row>
    <row r="161" spans="1:1" ht="13" x14ac:dyDescent="0.15">
      <c r="A161" s="3"/>
    </row>
    <row r="162" spans="1:1" ht="13" x14ac:dyDescent="0.15">
      <c r="A162" s="3"/>
    </row>
    <row r="163" spans="1:1" ht="13" x14ac:dyDescent="0.15">
      <c r="A163" s="3"/>
    </row>
    <row r="164" spans="1:1" ht="13" x14ac:dyDescent="0.15">
      <c r="A164" s="3"/>
    </row>
    <row r="165" spans="1:1" ht="13" x14ac:dyDescent="0.15">
      <c r="A165" s="3"/>
    </row>
    <row r="166" spans="1:1" ht="13" x14ac:dyDescent="0.15">
      <c r="A166" s="3"/>
    </row>
    <row r="167" spans="1:1" ht="13" x14ac:dyDescent="0.15">
      <c r="A167" s="3"/>
    </row>
    <row r="168" spans="1:1" ht="13" x14ac:dyDescent="0.15">
      <c r="A168" s="3"/>
    </row>
    <row r="169" spans="1:1" ht="13" x14ac:dyDescent="0.15">
      <c r="A169" s="3"/>
    </row>
    <row r="170" spans="1:1" ht="13" x14ac:dyDescent="0.15">
      <c r="A170" s="3"/>
    </row>
    <row r="171" spans="1:1" ht="13" x14ac:dyDescent="0.15">
      <c r="A171" s="3"/>
    </row>
    <row r="172" spans="1:1" ht="13" x14ac:dyDescent="0.15">
      <c r="A172" s="3"/>
    </row>
    <row r="173" spans="1:1" ht="13" x14ac:dyDescent="0.15">
      <c r="A173" s="3"/>
    </row>
    <row r="174" spans="1:1" ht="13" x14ac:dyDescent="0.15">
      <c r="A174" s="3"/>
    </row>
    <row r="175" spans="1:1" ht="13" x14ac:dyDescent="0.15">
      <c r="A175" s="3"/>
    </row>
    <row r="176" spans="1:1" ht="13" x14ac:dyDescent="0.15">
      <c r="A176" s="3"/>
    </row>
    <row r="177" spans="1:1" ht="13" x14ac:dyDescent="0.15">
      <c r="A177" s="3"/>
    </row>
    <row r="178" spans="1:1" ht="13" x14ac:dyDescent="0.15">
      <c r="A178" s="3"/>
    </row>
    <row r="179" spans="1:1" ht="13" x14ac:dyDescent="0.15">
      <c r="A179" s="3"/>
    </row>
    <row r="180" spans="1:1" ht="13" x14ac:dyDescent="0.15">
      <c r="A180" s="3"/>
    </row>
    <row r="181" spans="1:1" ht="13" x14ac:dyDescent="0.15">
      <c r="A181" s="3"/>
    </row>
    <row r="182" spans="1:1" ht="13" x14ac:dyDescent="0.15">
      <c r="A182" s="3"/>
    </row>
    <row r="183" spans="1:1" ht="13" x14ac:dyDescent="0.15">
      <c r="A183" s="3"/>
    </row>
    <row r="184" spans="1:1" ht="13" x14ac:dyDescent="0.15">
      <c r="A184" s="3"/>
    </row>
    <row r="185" spans="1:1" ht="13" x14ac:dyDescent="0.15">
      <c r="A185" s="3"/>
    </row>
    <row r="186" spans="1:1" ht="13" x14ac:dyDescent="0.15">
      <c r="A186" s="3"/>
    </row>
    <row r="187" spans="1:1" ht="13" x14ac:dyDescent="0.15">
      <c r="A187" s="3"/>
    </row>
    <row r="188" spans="1:1" ht="13" x14ac:dyDescent="0.15">
      <c r="A188" s="3"/>
    </row>
    <row r="189" spans="1:1" ht="13" x14ac:dyDescent="0.15">
      <c r="A189" s="3"/>
    </row>
    <row r="190" spans="1:1" ht="13" x14ac:dyDescent="0.15">
      <c r="A190" s="3"/>
    </row>
    <row r="191" spans="1:1" ht="13" x14ac:dyDescent="0.15">
      <c r="A191" s="3"/>
    </row>
    <row r="192" spans="1:1" ht="13" x14ac:dyDescent="0.15">
      <c r="A192" s="3"/>
    </row>
    <row r="193" spans="1:1" ht="13" x14ac:dyDescent="0.15">
      <c r="A193" s="3"/>
    </row>
    <row r="194" spans="1:1" ht="13" x14ac:dyDescent="0.15">
      <c r="A194" s="3"/>
    </row>
    <row r="195" spans="1:1" ht="13" x14ac:dyDescent="0.15">
      <c r="A195" s="3"/>
    </row>
    <row r="196" spans="1:1" ht="13" x14ac:dyDescent="0.15">
      <c r="A196" s="3"/>
    </row>
    <row r="197" spans="1:1" ht="13" x14ac:dyDescent="0.15">
      <c r="A197" s="3"/>
    </row>
    <row r="198" spans="1:1" ht="13" x14ac:dyDescent="0.15">
      <c r="A198" s="3"/>
    </row>
    <row r="199" spans="1:1" ht="13" x14ac:dyDescent="0.15">
      <c r="A199" s="3"/>
    </row>
    <row r="200" spans="1:1" ht="13" x14ac:dyDescent="0.15">
      <c r="A200" s="3"/>
    </row>
    <row r="201" spans="1:1" ht="13" x14ac:dyDescent="0.15">
      <c r="A201" s="3"/>
    </row>
    <row r="202" spans="1:1" ht="13" x14ac:dyDescent="0.15">
      <c r="A202" s="3"/>
    </row>
    <row r="203" spans="1:1" ht="13" x14ac:dyDescent="0.15">
      <c r="A203" s="3"/>
    </row>
    <row r="204" spans="1:1" ht="13" x14ac:dyDescent="0.15">
      <c r="A204" s="3"/>
    </row>
    <row r="205" spans="1:1" ht="13" x14ac:dyDescent="0.15">
      <c r="A205" s="3"/>
    </row>
    <row r="206" spans="1:1" ht="13" x14ac:dyDescent="0.15">
      <c r="A206" s="3"/>
    </row>
    <row r="207" spans="1:1" ht="13" x14ac:dyDescent="0.15">
      <c r="A207" s="3"/>
    </row>
    <row r="208" spans="1:1" ht="13" x14ac:dyDescent="0.15">
      <c r="A208" s="3"/>
    </row>
    <row r="209" spans="1:1" ht="13" x14ac:dyDescent="0.15">
      <c r="A209" s="3"/>
    </row>
    <row r="210" spans="1:1" ht="13" x14ac:dyDescent="0.15">
      <c r="A210" s="3"/>
    </row>
    <row r="211" spans="1:1" ht="13" x14ac:dyDescent="0.15">
      <c r="A211" s="3"/>
    </row>
    <row r="212" spans="1:1" ht="13" x14ac:dyDescent="0.15">
      <c r="A212" s="3"/>
    </row>
    <row r="213" spans="1:1" ht="13" x14ac:dyDescent="0.15">
      <c r="A213" s="3"/>
    </row>
    <row r="214" spans="1:1" ht="13" x14ac:dyDescent="0.15">
      <c r="A214" s="3"/>
    </row>
    <row r="215" spans="1:1" ht="13" x14ac:dyDescent="0.15">
      <c r="A215" s="3"/>
    </row>
    <row r="216" spans="1:1" ht="13" x14ac:dyDescent="0.15">
      <c r="A216" s="3"/>
    </row>
    <row r="217" spans="1:1" ht="13" x14ac:dyDescent="0.15">
      <c r="A217" s="3"/>
    </row>
    <row r="218" spans="1:1" ht="13" x14ac:dyDescent="0.15">
      <c r="A218" s="3"/>
    </row>
    <row r="219" spans="1:1" ht="13" x14ac:dyDescent="0.15">
      <c r="A219" s="3"/>
    </row>
    <row r="220" spans="1:1" ht="13" x14ac:dyDescent="0.15">
      <c r="A220" s="3"/>
    </row>
    <row r="221" spans="1:1" ht="13" x14ac:dyDescent="0.15">
      <c r="A221" s="3"/>
    </row>
    <row r="222" spans="1:1" ht="13" x14ac:dyDescent="0.15">
      <c r="A222" s="3"/>
    </row>
    <row r="223" spans="1:1" ht="13" x14ac:dyDescent="0.15">
      <c r="A223" s="3"/>
    </row>
    <row r="224" spans="1:1" ht="13" x14ac:dyDescent="0.15">
      <c r="A224" s="3"/>
    </row>
    <row r="225" spans="1:1" ht="13" x14ac:dyDescent="0.15">
      <c r="A225" s="3"/>
    </row>
    <row r="226" spans="1:1" ht="13" x14ac:dyDescent="0.15">
      <c r="A226" s="3"/>
    </row>
    <row r="227" spans="1:1" ht="13" x14ac:dyDescent="0.15">
      <c r="A227" s="3"/>
    </row>
    <row r="228" spans="1:1" ht="13" x14ac:dyDescent="0.15">
      <c r="A228" s="3"/>
    </row>
    <row r="229" spans="1:1" ht="13" x14ac:dyDescent="0.15">
      <c r="A229" s="3"/>
    </row>
    <row r="230" spans="1:1" ht="13" x14ac:dyDescent="0.15">
      <c r="A230" s="3"/>
    </row>
    <row r="231" spans="1:1" ht="13" x14ac:dyDescent="0.15">
      <c r="A231" s="3"/>
    </row>
    <row r="232" spans="1:1" ht="13" x14ac:dyDescent="0.15">
      <c r="A232" s="3"/>
    </row>
    <row r="233" spans="1:1" ht="13" x14ac:dyDescent="0.15">
      <c r="A233" s="3"/>
    </row>
    <row r="234" spans="1:1" ht="13" x14ac:dyDescent="0.15">
      <c r="A234" s="3"/>
    </row>
    <row r="235" spans="1:1" ht="13" x14ac:dyDescent="0.15">
      <c r="A235" s="3"/>
    </row>
    <row r="236" spans="1:1" ht="13" x14ac:dyDescent="0.15">
      <c r="A236" s="3"/>
    </row>
    <row r="237" spans="1:1" ht="13" x14ac:dyDescent="0.15">
      <c r="A237" s="3"/>
    </row>
    <row r="238" spans="1:1" ht="13" x14ac:dyDescent="0.15">
      <c r="A238" s="3"/>
    </row>
    <row r="239" spans="1:1" ht="13" x14ac:dyDescent="0.15">
      <c r="A239" s="3"/>
    </row>
    <row r="240" spans="1:1" ht="13" x14ac:dyDescent="0.15">
      <c r="A240" s="3"/>
    </row>
    <row r="241" spans="1:1" ht="13" x14ac:dyDescent="0.15">
      <c r="A241" s="3"/>
    </row>
    <row r="242" spans="1:1" ht="13" x14ac:dyDescent="0.15">
      <c r="A242" s="3"/>
    </row>
    <row r="243" spans="1:1" ht="13" x14ac:dyDescent="0.15">
      <c r="A243" s="3"/>
    </row>
    <row r="244" spans="1:1" ht="13" x14ac:dyDescent="0.15">
      <c r="A244" s="3"/>
    </row>
    <row r="245" spans="1:1" ht="13" x14ac:dyDescent="0.15">
      <c r="A245" s="3"/>
    </row>
    <row r="246" spans="1:1" ht="13" x14ac:dyDescent="0.15">
      <c r="A246" s="3"/>
    </row>
    <row r="247" spans="1:1" ht="13" x14ac:dyDescent="0.15">
      <c r="A247" s="3"/>
    </row>
    <row r="248" spans="1:1" ht="13" x14ac:dyDescent="0.15">
      <c r="A248" s="3"/>
    </row>
    <row r="249" spans="1:1" ht="13" x14ac:dyDescent="0.15">
      <c r="A249" s="3"/>
    </row>
    <row r="250" spans="1:1" ht="13" x14ac:dyDescent="0.15">
      <c r="A250" s="3"/>
    </row>
    <row r="251" spans="1:1" ht="13" x14ac:dyDescent="0.15">
      <c r="A251" s="3"/>
    </row>
    <row r="252" spans="1:1" ht="13" x14ac:dyDescent="0.15">
      <c r="A252" s="3"/>
    </row>
    <row r="253" spans="1:1" ht="13" x14ac:dyDescent="0.15">
      <c r="A253" s="3"/>
    </row>
    <row r="254" spans="1:1" ht="13" x14ac:dyDescent="0.15">
      <c r="A254" s="3"/>
    </row>
    <row r="255" spans="1:1" ht="13" x14ac:dyDescent="0.15">
      <c r="A255" s="3"/>
    </row>
    <row r="256" spans="1:1" ht="13" x14ac:dyDescent="0.15">
      <c r="A256" s="3"/>
    </row>
    <row r="257" spans="1:1" ht="13" x14ac:dyDescent="0.15">
      <c r="A257" s="3"/>
    </row>
    <row r="258" spans="1:1" ht="13" x14ac:dyDescent="0.15">
      <c r="A258" s="3"/>
    </row>
    <row r="259" spans="1:1" ht="13" x14ac:dyDescent="0.15">
      <c r="A259" s="3"/>
    </row>
    <row r="260" spans="1:1" ht="13" x14ac:dyDescent="0.15">
      <c r="A260" s="3"/>
    </row>
    <row r="261" spans="1:1" ht="13" x14ac:dyDescent="0.15">
      <c r="A261" s="3"/>
    </row>
    <row r="262" spans="1:1" ht="13" x14ac:dyDescent="0.15">
      <c r="A262" s="3"/>
    </row>
    <row r="263" spans="1:1" ht="13" x14ac:dyDescent="0.15">
      <c r="A263" s="3"/>
    </row>
    <row r="264" spans="1:1" ht="13" x14ac:dyDescent="0.15">
      <c r="A264" s="3"/>
    </row>
    <row r="265" spans="1:1" ht="13" x14ac:dyDescent="0.15">
      <c r="A265" s="3"/>
    </row>
    <row r="266" spans="1:1" ht="13" x14ac:dyDescent="0.15">
      <c r="A266" s="3"/>
    </row>
    <row r="267" spans="1:1" ht="13" x14ac:dyDescent="0.15">
      <c r="A267" s="3"/>
    </row>
    <row r="268" spans="1:1" ht="13" x14ac:dyDescent="0.15">
      <c r="A268" s="3"/>
    </row>
    <row r="269" spans="1:1" ht="13" x14ac:dyDescent="0.15">
      <c r="A269" s="3"/>
    </row>
    <row r="270" spans="1:1" ht="13" x14ac:dyDescent="0.15">
      <c r="A270" s="3"/>
    </row>
    <row r="271" spans="1:1" ht="13" x14ac:dyDescent="0.15">
      <c r="A271" s="3"/>
    </row>
    <row r="272" spans="1:1" ht="13" x14ac:dyDescent="0.15">
      <c r="A272" s="3"/>
    </row>
    <row r="273" spans="1:1" ht="13" x14ac:dyDescent="0.15">
      <c r="A273" s="3"/>
    </row>
    <row r="274" spans="1:1" ht="13" x14ac:dyDescent="0.15">
      <c r="A274" s="3"/>
    </row>
    <row r="275" spans="1:1" ht="13" x14ac:dyDescent="0.15">
      <c r="A275" s="3"/>
    </row>
    <row r="276" spans="1:1" ht="13" x14ac:dyDescent="0.15">
      <c r="A276" s="3"/>
    </row>
    <row r="277" spans="1:1" ht="13" x14ac:dyDescent="0.15">
      <c r="A277" s="3"/>
    </row>
    <row r="278" spans="1:1" ht="13" x14ac:dyDescent="0.15">
      <c r="A278" s="3"/>
    </row>
    <row r="279" spans="1:1" ht="13" x14ac:dyDescent="0.15">
      <c r="A279" s="3"/>
    </row>
    <row r="280" spans="1:1" ht="13" x14ac:dyDescent="0.15">
      <c r="A280" s="3"/>
    </row>
    <row r="281" spans="1:1" ht="13" x14ac:dyDescent="0.15">
      <c r="A281" s="3"/>
    </row>
    <row r="282" spans="1:1" ht="13" x14ac:dyDescent="0.15">
      <c r="A282" s="3"/>
    </row>
    <row r="283" spans="1:1" ht="13" x14ac:dyDescent="0.15">
      <c r="A283" s="3"/>
    </row>
    <row r="284" spans="1:1" ht="13" x14ac:dyDescent="0.15">
      <c r="A284" s="3"/>
    </row>
    <row r="285" spans="1:1" ht="13" x14ac:dyDescent="0.15">
      <c r="A285" s="3"/>
    </row>
    <row r="286" spans="1:1" ht="13" x14ac:dyDescent="0.15">
      <c r="A286" s="3"/>
    </row>
    <row r="287" spans="1:1" ht="13" x14ac:dyDescent="0.15">
      <c r="A287" s="3"/>
    </row>
    <row r="288" spans="1:1" ht="13" x14ac:dyDescent="0.15">
      <c r="A288" s="3"/>
    </row>
    <row r="289" spans="1:1" ht="13" x14ac:dyDescent="0.15">
      <c r="A289" s="3"/>
    </row>
    <row r="290" spans="1:1" ht="13" x14ac:dyDescent="0.15">
      <c r="A290" s="3"/>
    </row>
    <row r="291" spans="1:1" ht="13" x14ac:dyDescent="0.15">
      <c r="A291" s="3"/>
    </row>
    <row r="292" spans="1:1" ht="13" x14ac:dyDescent="0.15">
      <c r="A292" s="3"/>
    </row>
    <row r="293" spans="1:1" ht="13" x14ac:dyDescent="0.15">
      <c r="A293" s="3"/>
    </row>
    <row r="294" spans="1:1" ht="13" x14ac:dyDescent="0.15">
      <c r="A294" s="3"/>
    </row>
    <row r="295" spans="1:1" ht="13" x14ac:dyDescent="0.15">
      <c r="A295" s="3"/>
    </row>
    <row r="296" spans="1:1" ht="13" x14ac:dyDescent="0.15">
      <c r="A296" s="3"/>
    </row>
    <row r="297" spans="1:1" ht="13" x14ac:dyDescent="0.15">
      <c r="A297" s="3"/>
    </row>
    <row r="298" spans="1:1" ht="13" x14ac:dyDescent="0.15">
      <c r="A298" s="3"/>
    </row>
    <row r="299" spans="1:1" ht="13" x14ac:dyDescent="0.15">
      <c r="A299" s="3"/>
    </row>
    <row r="300" spans="1:1" ht="13" x14ac:dyDescent="0.15">
      <c r="A300" s="3"/>
    </row>
    <row r="301" spans="1:1" ht="13" x14ac:dyDescent="0.15">
      <c r="A301" s="3"/>
    </row>
    <row r="302" spans="1:1" ht="13" x14ac:dyDescent="0.15">
      <c r="A302" s="3"/>
    </row>
    <row r="303" spans="1:1" ht="13" x14ac:dyDescent="0.15">
      <c r="A303" s="3"/>
    </row>
    <row r="304" spans="1:1" ht="13" x14ac:dyDescent="0.15">
      <c r="A304" s="3"/>
    </row>
    <row r="305" spans="1:1" ht="13" x14ac:dyDescent="0.15">
      <c r="A305" s="3"/>
    </row>
    <row r="306" spans="1:1" ht="13" x14ac:dyDescent="0.15">
      <c r="A306" s="3"/>
    </row>
    <row r="307" spans="1:1" ht="13" x14ac:dyDescent="0.15">
      <c r="A307" s="3"/>
    </row>
    <row r="308" spans="1:1" ht="13" x14ac:dyDescent="0.15">
      <c r="A308" s="3"/>
    </row>
    <row r="309" spans="1:1" ht="13" x14ac:dyDescent="0.15">
      <c r="A309" s="3"/>
    </row>
    <row r="310" spans="1:1" ht="13" x14ac:dyDescent="0.15">
      <c r="A310" s="3"/>
    </row>
    <row r="311" spans="1:1" ht="13" x14ac:dyDescent="0.15">
      <c r="A311" s="3"/>
    </row>
    <row r="312" spans="1:1" ht="13" x14ac:dyDescent="0.15">
      <c r="A312" s="3"/>
    </row>
    <row r="313" spans="1:1" ht="13" x14ac:dyDescent="0.15">
      <c r="A313" s="3"/>
    </row>
    <row r="314" spans="1:1" ht="13" x14ac:dyDescent="0.15">
      <c r="A314" s="3"/>
    </row>
    <row r="315" spans="1:1" ht="13" x14ac:dyDescent="0.15">
      <c r="A315" s="3"/>
    </row>
    <row r="316" spans="1:1" ht="13" x14ac:dyDescent="0.15">
      <c r="A316" s="3"/>
    </row>
    <row r="317" spans="1:1" ht="13" x14ac:dyDescent="0.15">
      <c r="A317" s="3"/>
    </row>
    <row r="318" spans="1:1" ht="13" x14ac:dyDescent="0.15">
      <c r="A318" s="3"/>
    </row>
    <row r="319" spans="1:1" ht="13" x14ac:dyDescent="0.15">
      <c r="A319" s="3"/>
    </row>
    <row r="320" spans="1:1" ht="13" x14ac:dyDescent="0.15">
      <c r="A320" s="3"/>
    </row>
    <row r="321" spans="1:1" ht="13" x14ac:dyDescent="0.15">
      <c r="A321" s="3"/>
    </row>
    <row r="322" spans="1:1" ht="13" x14ac:dyDescent="0.15">
      <c r="A322" s="3"/>
    </row>
    <row r="323" spans="1:1" ht="13" x14ac:dyDescent="0.15">
      <c r="A323" s="3"/>
    </row>
    <row r="324" spans="1:1" ht="13" x14ac:dyDescent="0.15">
      <c r="A324" s="3"/>
    </row>
    <row r="325" spans="1:1" ht="13" x14ac:dyDescent="0.15">
      <c r="A325" s="3"/>
    </row>
    <row r="326" spans="1:1" ht="13" x14ac:dyDescent="0.15">
      <c r="A326" s="3"/>
    </row>
    <row r="327" spans="1:1" ht="13" x14ac:dyDescent="0.15">
      <c r="A327" s="3"/>
    </row>
    <row r="328" spans="1:1" ht="13" x14ac:dyDescent="0.15">
      <c r="A328" s="3"/>
    </row>
    <row r="329" spans="1:1" ht="13" x14ac:dyDescent="0.15">
      <c r="A329" s="3"/>
    </row>
    <row r="330" spans="1:1" ht="13" x14ac:dyDescent="0.15">
      <c r="A330" s="3"/>
    </row>
    <row r="331" spans="1:1" ht="13" x14ac:dyDescent="0.15">
      <c r="A331" s="3"/>
    </row>
    <row r="332" spans="1:1" ht="13" x14ac:dyDescent="0.15">
      <c r="A332" s="3"/>
    </row>
    <row r="333" spans="1:1" ht="13" x14ac:dyDescent="0.15">
      <c r="A333" s="3"/>
    </row>
    <row r="334" spans="1:1" ht="13" x14ac:dyDescent="0.15">
      <c r="A334" s="3"/>
    </row>
    <row r="335" spans="1:1" ht="13" x14ac:dyDescent="0.15">
      <c r="A335" s="3"/>
    </row>
    <row r="336" spans="1:1" ht="13" x14ac:dyDescent="0.15">
      <c r="A336" s="3"/>
    </row>
    <row r="337" spans="1:1" ht="13" x14ac:dyDescent="0.15">
      <c r="A337" s="3"/>
    </row>
    <row r="338" spans="1:1" ht="13" x14ac:dyDescent="0.15">
      <c r="A338" s="3"/>
    </row>
    <row r="339" spans="1:1" ht="13" x14ac:dyDescent="0.15">
      <c r="A339" s="3"/>
    </row>
    <row r="340" spans="1:1" ht="13" x14ac:dyDescent="0.15">
      <c r="A340" s="3"/>
    </row>
    <row r="341" spans="1:1" ht="13" x14ac:dyDescent="0.15">
      <c r="A341" s="3"/>
    </row>
    <row r="342" spans="1:1" ht="13" x14ac:dyDescent="0.15">
      <c r="A342" s="3"/>
    </row>
    <row r="343" spans="1:1" ht="13" x14ac:dyDescent="0.15">
      <c r="A343" s="3"/>
    </row>
    <row r="344" spans="1:1" ht="13" x14ac:dyDescent="0.15">
      <c r="A344" s="3"/>
    </row>
    <row r="345" spans="1:1" ht="13" x14ac:dyDescent="0.15">
      <c r="A345" s="3"/>
    </row>
    <row r="346" spans="1:1" ht="13" x14ac:dyDescent="0.15">
      <c r="A346" s="3"/>
    </row>
    <row r="347" spans="1:1" ht="13" x14ac:dyDescent="0.15">
      <c r="A347" s="3"/>
    </row>
    <row r="348" spans="1:1" ht="13" x14ac:dyDescent="0.15">
      <c r="A348" s="3"/>
    </row>
    <row r="349" spans="1:1" ht="13" x14ac:dyDescent="0.15">
      <c r="A349" s="3"/>
    </row>
    <row r="350" spans="1:1" ht="13" x14ac:dyDescent="0.15">
      <c r="A350" s="3"/>
    </row>
    <row r="351" spans="1:1" ht="13" x14ac:dyDescent="0.15">
      <c r="A351" s="3"/>
    </row>
    <row r="352" spans="1:1" ht="13" x14ac:dyDescent="0.15">
      <c r="A352" s="3"/>
    </row>
    <row r="353" spans="1:1" ht="13" x14ac:dyDescent="0.15">
      <c r="A353" s="3"/>
    </row>
    <row r="354" spans="1:1" ht="13" x14ac:dyDescent="0.15">
      <c r="A354" s="3"/>
    </row>
    <row r="355" spans="1:1" ht="13" x14ac:dyDescent="0.15">
      <c r="A355" s="3"/>
    </row>
    <row r="356" spans="1:1" ht="13" x14ac:dyDescent="0.15">
      <c r="A356" s="3"/>
    </row>
    <row r="357" spans="1:1" ht="13" x14ac:dyDescent="0.15">
      <c r="A357" s="3"/>
    </row>
    <row r="358" spans="1:1" ht="13" x14ac:dyDescent="0.15">
      <c r="A358" s="3"/>
    </row>
    <row r="359" spans="1:1" ht="13" x14ac:dyDescent="0.15">
      <c r="A359" s="3"/>
    </row>
    <row r="360" spans="1:1" ht="13" x14ac:dyDescent="0.15">
      <c r="A360" s="3"/>
    </row>
    <row r="361" spans="1:1" ht="13" x14ac:dyDescent="0.15">
      <c r="A361" s="3"/>
    </row>
    <row r="362" spans="1:1" ht="13" x14ac:dyDescent="0.15">
      <c r="A362" s="3"/>
    </row>
    <row r="363" spans="1:1" ht="13" x14ac:dyDescent="0.15">
      <c r="A363" s="3"/>
    </row>
    <row r="364" spans="1:1" ht="13" x14ac:dyDescent="0.15">
      <c r="A364" s="3"/>
    </row>
    <row r="365" spans="1:1" ht="13" x14ac:dyDescent="0.15">
      <c r="A365" s="3"/>
    </row>
    <row r="366" spans="1:1" ht="13" x14ac:dyDescent="0.15">
      <c r="A366" s="3"/>
    </row>
    <row r="367" spans="1:1" ht="13" x14ac:dyDescent="0.15">
      <c r="A367" s="3"/>
    </row>
    <row r="368" spans="1:1" ht="13" x14ac:dyDescent="0.15">
      <c r="A368" s="3"/>
    </row>
    <row r="369" spans="1:1" ht="13" x14ac:dyDescent="0.15">
      <c r="A369" s="3"/>
    </row>
    <row r="370" spans="1:1" ht="13" x14ac:dyDescent="0.15">
      <c r="A370" s="3"/>
    </row>
    <row r="371" spans="1:1" ht="13" x14ac:dyDescent="0.15">
      <c r="A371" s="3"/>
    </row>
    <row r="372" spans="1:1" ht="13" x14ac:dyDescent="0.15">
      <c r="A372" s="3"/>
    </row>
    <row r="373" spans="1:1" ht="13" x14ac:dyDescent="0.15">
      <c r="A373" s="3"/>
    </row>
    <row r="374" spans="1:1" ht="13" x14ac:dyDescent="0.15">
      <c r="A374" s="3"/>
    </row>
    <row r="375" spans="1:1" ht="13" x14ac:dyDescent="0.15">
      <c r="A375" s="3"/>
    </row>
    <row r="376" spans="1:1" ht="13" x14ac:dyDescent="0.15">
      <c r="A376" s="3"/>
    </row>
    <row r="377" spans="1:1" ht="13" x14ac:dyDescent="0.15">
      <c r="A377" s="3"/>
    </row>
    <row r="378" spans="1:1" ht="13" x14ac:dyDescent="0.15">
      <c r="A378" s="3"/>
    </row>
    <row r="379" spans="1:1" ht="13" x14ac:dyDescent="0.15">
      <c r="A379" s="3"/>
    </row>
    <row r="380" spans="1:1" ht="13" x14ac:dyDescent="0.15">
      <c r="A380" s="3"/>
    </row>
    <row r="381" spans="1:1" ht="13" x14ac:dyDescent="0.15">
      <c r="A381" s="3"/>
    </row>
    <row r="382" spans="1:1" ht="13" x14ac:dyDescent="0.15">
      <c r="A382" s="3"/>
    </row>
    <row r="383" spans="1:1" ht="13" x14ac:dyDescent="0.15">
      <c r="A383" s="3"/>
    </row>
    <row r="384" spans="1:1" ht="13" x14ac:dyDescent="0.15">
      <c r="A384" s="3"/>
    </row>
    <row r="385" spans="1:1" ht="13" x14ac:dyDescent="0.15">
      <c r="A385" s="3"/>
    </row>
    <row r="386" spans="1:1" ht="13" x14ac:dyDescent="0.15">
      <c r="A386" s="3"/>
    </row>
    <row r="387" spans="1:1" ht="13" x14ac:dyDescent="0.15">
      <c r="A387" s="3"/>
    </row>
    <row r="388" spans="1:1" ht="13" x14ac:dyDescent="0.15">
      <c r="A388" s="3"/>
    </row>
    <row r="389" spans="1:1" ht="13" x14ac:dyDescent="0.15">
      <c r="A389" s="3"/>
    </row>
    <row r="390" spans="1:1" ht="13" x14ac:dyDescent="0.15">
      <c r="A390" s="3"/>
    </row>
    <row r="391" spans="1:1" ht="13" x14ac:dyDescent="0.15">
      <c r="A391" s="3"/>
    </row>
    <row r="392" spans="1:1" ht="13" x14ac:dyDescent="0.15">
      <c r="A392" s="3"/>
    </row>
    <row r="393" spans="1:1" ht="13" x14ac:dyDescent="0.15">
      <c r="A393" s="3"/>
    </row>
    <row r="394" spans="1:1" ht="13" x14ac:dyDescent="0.15">
      <c r="A394" s="3"/>
    </row>
    <row r="395" spans="1:1" ht="13" x14ac:dyDescent="0.15">
      <c r="A395" s="3"/>
    </row>
    <row r="396" spans="1:1" ht="13" x14ac:dyDescent="0.15">
      <c r="A396" s="3"/>
    </row>
    <row r="397" spans="1:1" ht="13" x14ac:dyDescent="0.15">
      <c r="A397" s="3"/>
    </row>
    <row r="398" spans="1:1" ht="13" x14ac:dyDescent="0.15">
      <c r="A398" s="3"/>
    </row>
    <row r="399" spans="1:1" ht="13" x14ac:dyDescent="0.15">
      <c r="A399" s="3"/>
    </row>
    <row r="400" spans="1:1" ht="13" x14ac:dyDescent="0.15">
      <c r="A400" s="3"/>
    </row>
    <row r="401" spans="1:1" ht="13" x14ac:dyDescent="0.15">
      <c r="A401" s="3"/>
    </row>
    <row r="402" spans="1:1" ht="13" x14ac:dyDescent="0.15">
      <c r="A402" s="3"/>
    </row>
    <row r="403" spans="1:1" ht="13" x14ac:dyDescent="0.15">
      <c r="A403" s="3"/>
    </row>
    <row r="404" spans="1:1" ht="13" x14ac:dyDescent="0.15">
      <c r="A404" s="3"/>
    </row>
    <row r="405" spans="1:1" ht="13" x14ac:dyDescent="0.15">
      <c r="A405" s="3"/>
    </row>
    <row r="406" spans="1:1" ht="13" x14ac:dyDescent="0.15">
      <c r="A406" s="3"/>
    </row>
    <row r="407" spans="1:1" ht="13" x14ac:dyDescent="0.15">
      <c r="A407" s="3"/>
    </row>
    <row r="408" spans="1:1" ht="13" x14ac:dyDescent="0.15">
      <c r="A408" s="3"/>
    </row>
    <row r="409" spans="1:1" ht="13" x14ac:dyDescent="0.15">
      <c r="A409" s="3"/>
    </row>
    <row r="410" spans="1:1" ht="13" x14ac:dyDescent="0.15">
      <c r="A410" s="3"/>
    </row>
    <row r="411" spans="1:1" ht="13" x14ac:dyDescent="0.15">
      <c r="A411" s="3"/>
    </row>
    <row r="412" spans="1:1" ht="13" x14ac:dyDescent="0.15">
      <c r="A412" s="3"/>
    </row>
    <row r="413" spans="1:1" ht="13" x14ac:dyDescent="0.15">
      <c r="A413" s="3"/>
    </row>
    <row r="414" spans="1:1" ht="13" x14ac:dyDescent="0.15">
      <c r="A414" s="3"/>
    </row>
    <row r="415" spans="1:1" ht="13" x14ac:dyDescent="0.15">
      <c r="A415" s="3"/>
    </row>
    <row r="416" spans="1:1" ht="13" x14ac:dyDescent="0.15">
      <c r="A416" s="3"/>
    </row>
    <row r="417" spans="1:1" ht="13" x14ac:dyDescent="0.15">
      <c r="A417" s="3"/>
    </row>
    <row r="418" spans="1:1" ht="13" x14ac:dyDescent="0.15">
      <c r="A418" s="3"/>
    </row>
    <row r="419" spans="1:1" ht="13" x14ac:dyDescent="0.15">
      <c r="A419" s="3"/>
    </row>
    <row r="420" spans="1:1" ht="13" x14ac:dyDescent="0.15">
      <c r="A420" s="3"/>
    </row>
    <row r="421" spans="1:1" ht="13" x14ac:dyDescent="0.15">
      <c r="A421" s="3"/>
    </row>
    <row r="422" spans="1:1" ht="13" x14ac:dyDescent="0.15">
      <c r="A422" s="3"/>
    </row>
    <row r="423" spans="1:1" ht="13" x14ac:dyDescent="0.15">
      <c r="A423" s="3"/>
    </row>
    <row r="424" spans="1:1" ht="13" x14ac:dyDescent="0.15">
      <c r="A424" s="3"/>
    </row>
    <row r="425" spans="1:1" ht="13" x14ac:dyDescent="0.15">
      <c r="A425" s="3"/>
    </row>
    <row r="426" spans="1:1" ht="13" x14ac:dyDescent="0.15">
      <c r="A426" s="3"/>
    </row>
    <row r="427" spans="1:1" ht="13" x14ac:dyDescent="0.15">
      <c r="A427" s="3"/>
    </row>
    <row r="428" spans="1:1" ht="13" x14ac:dyDescent="0.15">
      <c r="A428" s="3"/>
    </row>
    <row r="429" spans="1:1" ht="13" x14ac:dyDescent="0.15">
      <c r="A429" s="3"/>
    </row>
    <row r="430" spans="1:1" ht="13" x14ac:dyDescent="0.15">
      <c r="A430" s="3"/>
    </row>
    <row r="431" spans="1:1" ht="13" x14ac:dyDescent="0.15">
      <c r="A431" s="3"/>
    </row>
    <row r="432" spans="1:1" ht="13" x14ac:dyDescent="0.15">
      <c r="A432" s="3"/>
    </row>
    <row r="433" spans="1:1" ht="13" x14ac:dyDescent="0.15">
      <c r="A433" s="3"/>
    </row>
    <row r="434" spans="1:1" ht="13" x14ac:dyDescent="0.15">
      <c r="A434" s="3"/>
    </row>
    <row r="435" spans="1:1" ht="13" x14ac:dyDescent="0.15">
      <c r="A435" s="3"/>
    </row>
    <row r="436" spans="1:1" ht="13" x14ac:dyDescent="0.15">
      <c r="A436" s="3"/>
    </row>
    <row r="437" spans="1:1" ht="13" x14ac:dyDescent="0.15">
      <c r="A437" s="3"/>
    </row>
    <row r="438" spans="1:1" ht="13" x14ac:dyDescent="0.15">
      <c r="A438" s="3"/>
    </row>
    <row r="439" spans="1:1" ht="13" x14ac:dyDescent="0.15">
      <c r="A439" s="3"/>
    </row>
    <row r="440" spans="1:1" ht="13" x14ac:dyDescent="0.15">
      <c r="A440" s="3"/>
    </row>
    <row r="441" spans="1:1" ht="13" x14ac:dyDescent="0.15">
      <c r="A441" s="3"/>
    </row>
    <row r="442" spans="1:1" ht="13" x14ac:dyDescent="0.15">
      <c r="A442" s="3"/>
    </row>
    <row r="443" spans="1:1" ht="13" x14ac:dyDescent="0.15">
      <c r="A443" s="3"/>
    </row>
    <row r="444" spans="1:1" ht="13" x14ac:dyDescent="0.15">
      <c r="A444" s="3"/>
    </row>
    <row r="445" spans="1:1" ht="13" x14ac:dyDescent="0.15">
      <c r="A445" s="3"/>
    </row>
    <row r="446" spans="1:1" ht="13" x14ac:dyDescent="0.15">
      <c r="A446" s="3"/>
    </row>
    <row r="447" spans="1:1" ht="13" x14ac:dyDescent="0.15">
      <c r="A447" s="3"/>
    </row>
    <row r="448" spans="1:1" ht="13" x14ac:dyDescent="0.15">
      <c r="A448" s="3"/>
    </row>
    <row r="449" spans="1:1" ht="13" x14ac:dyDescent="0.15">
      <c r="A449" s="3"/>
    </row>
    <row r="450" spans="1:1" ht="13" x14ac:dyDescent="0.15">
      <c r="A450" s="3"/>
    </row>
    <row r="451" spans="1:1" ht="13" x14ac:dyDescent="0.15">
      <c r="A451" s="3"/>
    </row>
    <row r="452" spans="1:1" ht="13" x14ac:dyDescent="0.15">
      <c r="A452" s="3"/>
    </row>
    <row r="453" spans="1:1" ht="13" x14ac:dyDescent="0.15">
      <c r="A453" s="3"/>
    </row>
    <row r="454" spans="1:1" ht="13" x14ac:dyDescent="0.15">
      <c r="A454" s="3"/>
    </row>
    <row r="455" spans="1:1" ht="13" x14ac:dyDescent="0.15">
      <c r="A455" s="3"/>
    </row>
    <row r="456" spans="1:1" ht="13" x14ac:dyDescent="0.15">
      <c r="A456" s="3"/>
    </row>
    <row r="457" spans="1:1" ht="13" x14ac:dyDescent="0.15">
      <c r="A457" s="3"/>
    </row>
    <row r="458" spans="1:1" ht="13" x14ac:dyDescent="0.15">
      <c r="A458" s="3"/>
    </row>
    <row r="459" spans="1:1" ht="13" x14ac:dyDescent="0.15">
      <c r="A459" s="3"/>
    </row>
    <row r="460" spans="1:1" ht="13" x14ac:dyDescent="0.15">
      <c r="A460" s="3"/>
    </row>
    <row r="461" spans="1:1" ht="13" x14ac:dyDescent="0.15">
      <c r="A461" s="3"/>
    </row>
    <row r="462" spans="1:1" ht="13" x14ac:dyDescent="0.15">
      <c r="A462" s="3"/>
    </row>
    <row r="463" spans="1:1" ht="13" x14ac:dyDescent="0.15">
      <c r="A463" s="3"/>
    </row>
    <row r="464" spans="1:1" ht="13" x14ac:dyDescent="0.15">
      <c r="A464" s="3"/>
    </row>
    <row r="465" spans="1:1" ht="13" x14ac:dyDescent="0.15">
      <c r="A465" s="3"/>
    </row>
    <row r="466" spans="1:1" ht="13" x14ac:dyDescent="0.15">
      <c r="A466" s="3"/>
    </row>
    <row r="467" spans="1:1" ht="13" x14ac:dyDescent="0.15">
      <c r="A467" s="3"/>
    </row>
    <row r="468" spans="1:1" ht="13" x14ac:dyDescent="0.15">
      <c r="A468" s="3"/>
    </row>
    <row r="469" spans="1:1" ht="13" x14ac:dyDescent="0.15">
      <c r="A469" s="3"/>
    </row>
    <row r="470" spans="1:1" ht="13" x14ac:dyDescent="0.15">
      <c r="A470" s="3"/>
    </row>
    <row r="471" spans="1:1" ht="13" x14ac:dyDescent="0.15">
      <c r="A471" s="3"/>
    </row>
    <row r="472" spans="1:1" ht="13" x14ac:dyDescent="0.15">
      <c r="A472" s="3"/>
    </row>
    <row r="473" spans="1:1" ht="13" x14ac:dyDescent="0.15">
      <c r="A473" s="3"/>
    </row>
    <row r="474" spans="1:1" ht="13" x14ac:dyDescent="0.15">
      <c r="A474" s="3"/>
    </row>
    <row r="475" spans="1:1" ht="13" x14ac:dyDescent="0.15">
      <c r="A475" s="3"/>
    </row>
    <row r="476" spans="1:1" ht="13" x14ac:dyDescent="0.15">
      <c r="A476" s="3"/>
    </row>
    <row r="477" spans="1:1" ht="13" x14ac:dyDescent="0.15">
      <c r="A477" s="3"/>
    </row>
    <row r="478" spans="1:1" ht="13" x14ac:dyDescent="0.15">
      <c r="A478" s="3"/>
    </row>
    <row r="479" spans="1:1" ht="13" x14ac:dyDescent="0.15">
      <c r="A479" s="3"/>
    </row>
    <row r="480" spans="1:1" ht="13" x14ac:dyDescent="0.15">
      <c r="A480" s="3"/>
    </row>
    <row r="481" spans="1:1" ht="13" x14ac:dyDescent="0.15">
      <c r="A481" s="3"/>
    </row>
    <row r="482" spans="1:1" ht="13" x14ac:dyDescent="0.15">
      <c r="A482" s="3"/>
    </row>
    <row r="483" spans="1:1" ht="13" x14ac:dyDescent="0.15">
      <c r="A483" s="3"/>
    </row>
    <row r="484" spans="1:1" ht="13" x14ac:dyDescent="0.15">
      <c r="A484" s="3"/>
    </row>
    <row r="485" spans="1:1" ht="13" x14ac:dyDescent="0.15">
      <c r="A485" s="3"/>
    </row>
    <row r="486" spans="1:1" ht="13" x14ac:dyDescent="0.15">
      <c r="A486" s="3"/>
    </row>
    <row r="487" spans="1:1" ht="13" x14ac:dyDescent="0.15">
      <c r="A487" s="3"/>
    </row>
    <row r="488" spans="1:1" ht="13" x14ac:dyDescent="0.15">
      <c r="A488" s="3"/>
    </row>
    <row r="489" spans="1:1" ht="13" x14ac:dyDescent="0.15">
      <c r="A489" s="3"/>
    </row>
    <row r="490" spans="1:1" ht="13" x14ac:dyDescent="0.15">
      <c r="A490" s="3"/>
    </row>
    <row r="491" spans="1:1" ht="13" x14ac:dyDescent="0.15">
      <c r="A491" s="3"/>
    </row>
    <row r="492" spans="1:1" ht="13" x14ac:dyDescent="0.15">
      <c r="A492" s="3"/>
    </row>
    <row r="493" spans="1:1" ht="13" x14ac:dyDescent="0.15">
      <c r="A493" s="3"/>
    </row>
    <row r="494" spans="1:1" ht="13" x14ac:dyDescent="0.15">
      <c r="A494" s="3"/>
    </row>
    <row r="495" spans="1:1" ht="13" x14ac:dyDescent="0.15">
      <c r="A495" s="3"/>
    </row>
    <row r="496" spans="1:1" ht="13" x14ac:dyDescent="0.15">
      <c r="A496" s="3"/>
    </row>
    <row r="497" spans="1:1" ht="13" x14ac:dyDescent="0.15">
      <c r="A497" s="3"/>
    </row>
    <row r="498" spans="1:1" ht="13" x14ac:dyDescent="0.15">
      <c r="A498" s="3"/>
    </row>
    <row r="499" spans="1:1" ht="13" x14ac:dyDescent="0.15">
      <c r="A499" s="3"/>
    </row>
    <row r="500" spans="1:1" ht="13" x14ac:dyDescent="0.15">
      <c r="A500" s="3"/>
    </row>
    <row r="501" spans="1:1" ht="13" x14ac:dyDescent="0.15">
      <c r="A501" s="3"/>
    </row>
    <row r="502" spans="1:1" ht="13" x14ac:dyDescent="0.15">
      <c r="A502" s="3"/>
    </row>
    <row r="503" spans="1:1" ht="13" x14ac:dyDescent="0.15">
      <c r="A503" s="3"/>
    </row>
    <row r="504" spans="1:1" ht="13" x14ac:dyDescent="0.15">
      <c r="A504" s="3"/>
    </row>
    <row r="505" spans="1:1" ht="13" x14ac:dyDescent="0.15">
      <c r="A505" s="3"/>
    </row>
    <row r="506" spans="1:1" ht="13" x14ac:dyDescent="0.15">
      <c r="A506" s="3"/>
    </row>
    <row r="507" spans="1:1" ht="13" x14ac:dyDescent="0.15">
      <c r="A507" s="3"/>
    </row>
    <row r="508" spans="1:1" ht="13" x14ac:dyDescent="0.15">
      <c r="A508" s="3"/>
    </row>
    <row r="509" spans="1:1" ht="13" x14ac:dyDescent="0.15">
      <c r="A509" s="3"/>
    </row>
    <row r="510" spans="1:1" ht="13" x14ac:dyDescent="0.15">
      <c r="A510" s="3"/>
    </row>
    <row r="511" spans="1:1" ht="13" x14ac:dyDescent="0.15">
      <c r="A511" s="3"/>
    </row>
    <row r="512" spans="1:1" ht="13" x14ac:dyDescent="0.15">
      <c r="A512" s="3"/>
    </row>
    <row r="513" spans="1:1" ht="13" x14ac:dyDescent="0.15">
      <c r="A513" s="3"/>
    </row>
    <row r="514" spans="1:1" ht="13" x14ac:dyDescent="0.15">
      <c r="A514" s="3"/>
    </row>
    <row r="515" spans="1:1" ht="13" x14ac:dyDescent="0.15">
      <c r="A515" s="3"/>
    </row>
    <row r="516" spans="1:1" ht="13" x14ac:dyDescent="0.15">
      <c r="A516" s="3"/>
    </row>
    <row r="517" spans="1:1" ht="13" x14ac:dyDescent="0.15">
      <c r="A517" s="3"/>
    </row>
    <row r="518" spans="1:1" ht="13" x14ac:dyDescent="0.15">
      <c r="A518" s="3"/>
    </row>
    <row r="519" spans="1:1" ht="13" x14ac:dyDescent="0.15">
      <c r="A519" s="3"/>
    </row>
    <row r="520" spans="1:1" ht="13" x14ac:dyDescent="0.15">
      <c r="A520" s="3"/>
    </row>
    <row r="521" spans="1:1" ht="13" x14ac:dyDescent="0.15">
      <c r="A521" s="3"/>
    </row>
    <row r="522" spans="1:1" ht="13" x14ac:dyDescent="0.15">
      <c r="A522" s="3"/>
    </row>
    <row r="523" spans="1:1" ht="13" x14ac:dyDescent="0.15">
      <c r="A523" s="3"/>
    </row>
    <row r="524" spans="1:1" ht="13" x14ac:dyDescent="0.15">
      <c r="A524" s="3"/>
    </row>
    <row r="525" spans="1:1" ht="13" x14ac:dyDescent="0.15">
      <c r="A525" s="3"/>
    </row>
    <row r="526" spans="1:1" ht="13" x14ac:dyDescent="0.15">
      <c r="A526" s="3"/>
    </row>
    <row r="527" spans="1:1" ht="13" x14ac:dyDescent="0.15">
      <c r="A527" s="3"/>
    </row>
    <row r="528" spans="1:1" ht="13" x14ac:dyDescent="0.15">
      <c r="A528" s="3"/>
    </row>
    <row r="529" spans="1:1" ht="13" x14ac:dyDescent="0.15">
      <c r="A529" s="3"/>
    </row>
    <row r="530" spans="1:1" ht="13" x14ac:dyDescent="0.15">
      <c r="A530" s="3"/>
    </row>
    <row r="531" spans="1:1" ht="13" x14ac:dyDescent="0.15">
      <c r="A531" s="3"/>
    </row>
    <row r="532" spans="1:1" ht="13" x14ac:dyDescent="0.15">
      <c r="A532" s="3"/>
    </row>
    <row r="533" spans="1:1" ht="13" x14ac:dyDescent="0.15">
      <c r="A533" s="3"/>
    </row>
    <row r="534" spans="1:1" ht="13" x14ac:dyDescent="0.15">
      <c r="A534" s="3"/>
    </row>
    <row r="535" spans="1:1" ht="13" x14ac:dyDescent="0.15">
      <c r="A535" s="3"/>
    </row>
    <row r="536" spans="1:1" ht="13" x14ac:dyDescent="0.15">
      <c r="A536" s="3"/>
    </row>
    <row r="537" spans="1:1" ht="13" x14ac:dyDescent="0.15">
      <c r="A537" s="3"/>
    </row>
    <row r="538" spans="1:1" ht="13" x14ac:dyDescent="0.15">
      <c r="A538" s="3"/>
    </row>
    <row r="539" spans="1:1" ht="13" x14ac:dyDescent="0.15">
      <c r="A539" s="3"/>
    </row>
    <row r="540" spans="1:1" ht="13" x14ac:dyDescent="0.15">
      <c r="A540" s="3"/>
    </row>
    <row r="541" spans="1:1" ht="13" x14ac:dyDescent="0.15">
      <c r="A541" s="3"/>
    </row>
    <row r="542" spans="1:1" ht="13" x14ac:dyDescent="0.15">
      <c r="A542" s="3"/>
    </row>
    <row r="543" spans="1:1" ht="13" x14ac:dyDescent="0.15">
      <c r="A543" s="3"/>
    </row>
    <row r="544" spans="1:1" ht="13" x14ac:dyDescent="0.15">
      <c r="A544" s="3"/>
    </row>
    <row r="545" spans="1:1" ht="13" x14ac:dyDescent="0.15">
      <c r="A545" s="3"/>
    </row>
    <row r="546" spans="1:1" ht="13" x14ac:dyDescent="0.15">
      <c r="A546" s="3"/>
    </row>
    <row r="547" spans="1:1" ht="13" x14ac:dyDescent="0.15">
      <c r="A547" s="3"/>
    </row>
    <row r="548" spans="1:1" ht="13" x14ac:dyDescent="0.15">
      <c r="A548" s="3"/>
    </row>
    <row r="549" spans="1:1" ht="13" x14ac:dyDescent="0.15">
      <c r="A549" s="3"/>
    </row>
    <row r="550" spans="1:1" ht="13" x14ac:dyDescent="0.15">
      <c r="A550" s="3"/>
    </row>
    <row r="551" spans="1:1" ht="13" x14ac:dyDescent="0.15">
      <c r="A551" s="3"/>
    </row>
    <row r="552" spans="1:1" ht="13" x14ac:dyDescent="0.15">
      <c r="A552" s="3"/>
    </row>
    <row r="553" spans="1:1" ht="13" x14ac:dyDescent="0.15">
      <c r="A553" s="3"/>
    </row>
    <row r="554" spans="1:1" ht="13" x14ac:dyDescent="0.15">
      <c r="A554" s="3"/>
    </row>
    <row r="555" spans="1:1" ht="13" x14ac:dyDescent="0.15">
      <c r="A555" s="3"/>
    </row>
    <row r="556" spans="1:1" ht="13" x14ac:dyDescent="0.15">
      <c r="A556" s="3"/>
    </row>
    <row r="557" spans="1:1" ht="13" x14ac:dyDescent="0.15">
      <c r="A557" s="3"/>
    </row>
    <row r="558" spans="1:1" ht="13" x14ac:dyDescent="0.15">
      <c r="A558" s="3"/>
    </row>
    <row r="559" spans="1:1" ht="13" x14ac:dyDescent="0.15">
      <c r="A559" s="3"/>
    </row>
    <row r="560" spans="1:1" ht="13" x14ac:dyDescent="0.15">
      <c r="A560" s="3"/>
    </row>
    <row r="561" spans="1:1" ht="13" x14ac:dyDescent="0.15">
      <c r="A561" s="3"/>
    </row>
    <row r="562" spans="1:1" ht="13" x14ac:dyDescent="0.15">
      <c r="A562" s="3"/>
    </row>
    <row r="563" spans="1:1" ht="13" x14ac:dyDescent="0.15">
      <c r="A563" s="3"/>
    </row>
    <row r="564" spans="1:1" ht="13" x14ac:dyDescent="0.15">
      <c r="A564" s="3"/>
    </row>
    <row r="565" spans="1:1" ht="13" x14ac:dyDescent="0.15">
      <c r="A565" s="3"/>
    </row>
    <row r="566" spans="1:1" ht="13" x14ac:dyDescent="0.15">
      <c r="A566" s="3"/>
    </row>
    <row r="567" spans="1:1" ht="13" x14ac:dyDescent="0.15">
      <c r="A567" s="3"/>
    </row>
    <row r="568" spans="1:1" ht="13" x14ac:dyDescent="0.15">
      <c r="A568" s="3"/>
    </row>
    <row r="569" spans="1:1" ht="13" x14ac:dyDescent="0.15">
      <c r="A569" s="3"/>
    </row>
    <row r="570" spans="1:1" ht="13" x14ac:dyDescent="0.15">
      <c r="A570" s="3"/>
    </row>
    <row r="571" spans="1:1" ht="13" x14ac:dyDescent="0.15">
      <c r="A571" s="3"/>
    </row>
    <row r="572" spans="1:1" ht="13" x14ac:dyDescent="0.15">
      <c r="A572" s="3"/>
    </row>
    <row r="573" spans="1:1" ht="13" x14ac:dyDescent="0.15">
      <c r="A573" s="3"/>
    </row>
    <row r="574" spans="1:1" ht="13" x14ac:dyDescent="0.15">
      <c r="A574" s="3"/>
    </row>
    <row r="575" spans="1:1" ht="13" x14ac:dyDescent="0.15">
      <c r="A575" s="3"/>
    </row>
    <row r="576" spans="1:1" ht="13" x14ac:dyDescent="0.15">
      <c r="A576" s="3"/>
    </row>
    <row r="577" spans="1:1" ht="13" x14ac:dyDescent="0.15">
      <c r="A577" s="3"/>
    </row>
    <row r="578" spans="1:1" ht="13" x14ac:dyDescent="0.15">
      <c r="A578" s="3"/>
    </row>
    <row r="579" spans="1:1" ht="13" x14ac:dyDescent="0.15">
      <c r="A579" s="3"/>
    </row>
    <row r="580" spans="1:1" ht="13" x14ac:dyDescent="0.15">
      <c r="A580" s="3"/>
    </row>
    <row r="581" spans="1:1" ht="13" x14ac:dyDescent="0.15">
      <c r="A581" s="3"/>
    </row>
    <row r="582" spans="1:1" ht="13" x14ac:dyDescent="0.15">
      <c r="A582" s="3"/>
    </row>
    <row r="583" spans="1:1" ht="13" x14ac:dyDescent="0.15">
      <c r="A583" s="3"/>
    </row>
    <row r="584" spans="1:1" ht="13" x14ac:dyDescent="0.15">
      <c r="A584" s="3"/>
    </row>
    <row r="585" spans="1:1" ht="13" x14ac:dyDescent="0.15">
      <c r="A585" s="3"/>
    </row>
    <row r="586" spans="1:1" ht="13" x14ac:dyDescent="0.15">
      <c r="A586" s="3"/>
    </row>
    <row r="587" spans="1:1" ht="13" x14ac:dyDescent="0.15">
      <c r="A587" s="3"/>
    </row>
    <row r="588" spans="1:1" ht="13" x14ac:dyDescent="0.15">
      <c r="A588" s="3"/>
    </row>
    <row r="589" spans="1:1" ht="13" x14ac:dyDescent="0.15">
      <c r="A589" s="3"/>
    </row>
    <row r="590" spans="1:1" ht="13" x14ac:dyDescent="0.15">
      <c r="A590" s="3"/>
    </row>
    <row r="591" spans="1:1" ht="13" x14ac:dyDescent="0.15">
      <c r="A591" s="3"/>
    </row>
    <row r="592" spans="1:1" ht="13" x14ac:dyDescent="0.15">
      <c r="A592" s="3"/>
    </row>
    <row r="593" spans="1:1" ht="13" x14ac:dyDescent="0.15">
      <c r="A593" s="3"/>
    </row>
    <row r="594" spans="1:1" ht="13" x14ac:dyDescent="0.15">
      <c r="A594" s="3"/>
    </row>
    <row r="595" spans="1:1" ht="13" x14ac:dyDescent="0.15">
      <c r="A595" s="3"/>
    </row>
    <row r="596" spans="1:1" ht="13" x14ac:dyDescent="0.15">
      <c r="A596" s="3"/>
    </row>
    <row r="597" spans="1:1" ht="13" x14ac:dyDescent="0.15">
      <c r="A597" s="3"/>
    </row>
    <row r="598" spans="1:1" ht="13" x14ac:dyDescent="0.15">
      <c r="A598" s="3"/>
    </row>
    <row r="599" spans="1:1" ht="13" x14ac:dyDescent="0.15">
      <c r="A599" s="3"/>
    </row>
    <row r="600" spans="1:1" ht="13" x14ac:dyDescent="0.15">
      <c r="A600" s="3"/>
    </row>
    <row r="601" spans="1:1" ht="13" x14ac:dyDescent="0.15">
      <c r="A601" s="3"/>
    </row>
    <row r="602" spans="1:1" ht="13" x14ac:dyDescent="0.15">
      <c r="A602" s="3"/>
    </row>
    <row r="603" spans="1:1" ht="13" x14ac:dyDescent="0.15">
      <c r="A603" s="3"/>
    </row>
    <row r="604" spans="1:1" ht="13" x14ac:dyDescent="0.15">
      <c r="A604" s="3"/>
    </row>
    <row r="605" spans="1:1" ht="13" x14ac:dyDescent="0.15">
      <c r="A605" s="3"/>
    </row>
    <row r="606" spans="1:1" ht="13" x14ac:dyDescent="0.15">
      <c r="A606" s="3"/>
    </row>
    <row r="607" spans="1:1" ht="13" x14ac:dyDescent="0.15">
      <c r="A607" s="3"/>
    </row>
    <row r="608" spans="1:1" ht="13" x14ac:dyDescent="0.15">
      <c r="A608" s="3"/>
    </row>
    <row r="609" spans="1:1" ht="13" x14ac:dyDescent="0.15">
      <c r="A609" s="3"/>
    </row>
    <row r="610" spans="1:1" ht="13" x14ac:dyDescent="0.15">
      <c r="A610" s="3"/>
    </row>
    <row r="611" spans="1:1" ht="13" x14ac:dyDescent="0.15">
      <c r="A611" s="3"/>
    </row>
    <row r="612" spans="1:1" ht="13" x14ac:dyDescent="0.15">
      <c r="A612" s="3"/>
    </row>
    <row r="613" spans="1:1" ht="13" x14ac:dyDescent="0.15">
      <c r="A613" s="3"/>
    </row>
    <row r="614" spans="1:1" ht="13" x14ac:dyDescent="0.15">
      <c r="A614" s="3"/>
    </row>
    <row r="615" spans="1:1" ht="13" x14ac:dyDescent="0.15">
      <c r="A615" s="3"/>
    </row>
    <row r="616" spans="1:1" ht="13" x14ac:dyDescent="0.15">
      <c r="A616" s="3"/>
    </row>
    <row r="617" spans="1:1" ht="13" x14ac:dyDescent="0.15">
      <c r="A617" s="3"/>
    </row>
    <row r="618" spans="1:1" ht="13" x14ac:dyDescent="0.15">
      <c r="A618" s="3"/>
    </row>
    <row r="619" spans="1:1" ht="13" x14ac:dyDescent="0.15">
      <c r="A619" s="3"/>
    </row>
    <row r="620" spans="1:1" ht="13" x14ac:dyDescent="0.15">
      <c r="A620" s="3"/>
    </row>
    <row r="621" spans="1:1" ht="13" x14ac:dyDescent="0.15">
      <c r="A621" s="3"/>
    </row>
    <row r="622" spans="1:1" ht="13" x14ac:dyDescent="0.15">
      <c r="A622" s="3"/>
    </row>
    <row r="623" spans="1:1" ht="13" x14ac:dyDescent="0.15">
      <c r="A623" s="3"/>
    </row>
    <row r="624" spans="1:1" ht="13" x14ac:dyDescent="0.15">
      <c r="A624" s="3"/>
    </row>
    <row r="625" spans="1:1" ht="13" x14ac:dyDescent="0.15">
      <c r="A625" s="3"/>
    </row>
    <row r="626" spans="1:1" ht="13" x14ac:dyDescent="0.15">
      <c r="A626" s="3"/>
    </row>
    <row r="627" spans="1:1" ht="13" x14ac:dyDescent="0.15">
      <c r="A627" s="3"/>
    </row>
    <row r="628" spans="1:1" ht="13" x14ac:dyDescent="0.15">
      <c r="A628" s="3"/>
    </row>
    <row r="629" spans="1:1" ht="13" x14ac:dyDescent="0.15">
      <c r="A629" s="3"/>
    </row>
    <row r="630" spans="1:1" ht="13" x14ac:dyDescent="0.15">
      <c r="A630" s="3"/>
    </row>
    <row r="631" spans="1:1" ht="13" x14ac:dyDescent="0.15">
      <c r="A631" s="3"/>
    </row>
    <row r="632" spans="1:1" ht="13" x14ac:dyDescent="0.15">
      <c r="A632" s="3"/>
    </row>
    <row r="633" spans="1:1" ht="13" x14ac:dyDescent="0.15">
      <c r="A633" s="3"/>
    </row>
    <row r="634" spans="1:1" ht="13" x14ac:dyDescent="0.15">
      <c r="A634" s="3"/>
    </row>
    <row r="635" spans="1:1" ht="13" x14ac:dyDescent="0.15">
      <c r="A635" s="3"/>
    </row>
    <row r="636" spans="1:1" ht="13" x14ac:dyDescent="0.15">
      <c r="A636" s="3"/>
    </row>
    <row r="637" spans="1:1" ht="13" x14ac:dyDescent="0.15">
      <c r="A637" s="3"/>
    </row>
    <row r="638" spans="1:1" ht="13" x14ac:dyDescent="0.15">
      <c r="A638" s="3"/>
    </row>
    <row r="639" spans="1:1" ht="13" x14ac:dyDescent="0.15">
      <c r="A639" s="3"/>
    </row>
    <row r="640" spans="1:1" ht="13" x14ac:dyDescent="0.15">
      <c r="A640" s="3"/>
    </row>
    <row r="641" spans="1:1" ht="13" x14ac:dyDescent="0.15">
      <c r="A641" s="3"/>
    </row>
    <row r="642" spans="1:1" ht="13" x14ac:dyDescent="0.15">
      <c r="A642" s="3"/>
    </row>
    <row r="643" spans="1:1" ht="13" x14ac:dyDescent="0.15">
      <c r="A643" s="3"/>
    </row>
    <row r="644" spans="1:1" ht="13" x14ac:dyDescent="0.15">
      <c r="A644" s="3"/>
    </row>
    <row r="645" spans="1:1" ht="13" x14ac:dyDescent="0.15">
      <c r="A645" s="3"/>
    </row>
    <row r="646" spans="1:1" ht="13" x14ac:dyDescent="0.15">
      <c r="A646" s="3"/>
    </row>
    <row r="647" spans="1:1" ht="13" x14ac:dyDescent="0.15">
      <c r="A647" s="3"/>
    </row>
    <row r="648" spans="1:1" ht="13" x14ac:dyDescent="0.15">
      <c r="A648" s="3"/>
    </row>
    <row r="649" spans="1:1" ht="13" x14ac:dyDescent="0.15">
      <c r="A649" s="3"/>
    </row>
    <row r="650" spans="1:1" ht="13" x14ac:dyDescent="0.15">
      <c r="A650" s="3"/>
    </row>
    <row r="651" spans="1:1" ht="13" x14ac:dyDescent="0.15">
      <c r="A651" s="3"/>
    </row>
    <row r="652" spans="1:1" ht="13" x14ac:dyDescent="0.15">
      <c r="A652" s="3"/>
    </row>
    <row r="653" spans="1:1" ht="13" x14ac:dyDescent="0.15">
      <c r="A653" s="3"/>
    </row>
    <row r="654" spans="1:1" ht="13" x14ac:dyDescent="0.15">
      <c r="A654" s="3"/>
    </row>
    <row r="655" spans="1:1" ht="13" x14ac:dyDescent="0.15">
      <c r="A655" s="3"/>
    </row>
    <row r="656" spans="1:1" ht="13" x14ac:dyDescent="0.15">
      <c r="A656" s="3"/>
    </row>
    <row r="657" spans="1:1" ht="13" x14ac:dyDescent="0.15">
      <c r="A657" s="3"/>
    </row>
    <row r="658" spans="1:1" ht="13" x14ac:dyDescent="0.15">
      <c r="A658" s="3"/>
    </row>
    <row r="659" spans="1:1" ht="13" x14ac:dyDescent="0.15">
      <c r="A659" s="3"/>
    </row>
    <row r="660" spans="1:1" ht="13" x14ac:dyDescent="0.15">
      <c r="A660" s="3"/>
    </row>
    <row r="661" spans="1:1" ht="13" x14ac:dyDescent="0.15">
      <c r="A661" s="3"/>
    </row>
    <row r="662" spans="1:1" ht="13" x14ac:dyDescent="0.15">
      <c r="A662" s="3"/>
    </row>
    <row r="663" spans="1:1" ht="13" x14ac:dyDescent="0.15">
      <c r="A663" s="3"/>
    </row>
    <row r="664" spans="1:1" ht="13" x14ac:dyDescent="0.15">
      <c r="A664" s="3"/>
    </row>
    <row r="665" spans="1:1" ht="13" x14ac:dyDescent="0.15">
      <c r="A665" s="3"/>
    </row>
    <row r="666" spans="1:1" ht="13" x14ac:dyDescent="0.15">
      <c r="A666" s="3"/>
    </row>
    <row r="667" spans="1:1" ht="13" x14ac:dyDescent="0.15">
      <c r="A667" s="3"/>
    </row>
    <row r="668" spans="1:1" ht="13" x14ac:dyDescent="0.15">
      <c r="A668" s="3"/>
    </row>
    <row r="669" spans="1:1" ht="13" x14ac:dyDescent="0.15">
      <c r="A669" s="3"/>
    </row>
    <row r="670" spans="1:1" ht="13" x14ac:dyDescent="0.15">
      <c r="A670" s="3"/>
    </row>
    <row r="671" spans="1:1" ht="13" x14ac:dyDescent="0.15">
      <c r="A671" s="3"/>
    </row>
    <row r="672" spans="1:1" ht="13" x14ac:dyDescent="0.15">
      <c r="A672" s="3"/>
    </row>
    <row r="673" spans="1:1" ht="13" x14ac:dyDescent="0.15">
      <c r="A673" s="3"/>
    </row>
    <row r="674" spans="1:1" ht="13" x14ac:dyDescent="0.15">
      <c r="A674" s="3"/>
    </row>
    <row r="675" spans="1:1" ht="13" x14ac:dyDescent="0.15">
      <c r="A675" s="3"/>
    </row>
    <row r="676" spans="1:1" ht="13" x14ac:dyDescent="0.15">
      <c r="A676" s="3"/>
    </row>
    <row r="677" spans="1:1" ht="13" x14ac:dyDescent="0.15">
      <c r="A677" s="3"/>
    </row>
    <row r="678" spans="1:1" ht="13" x14ac:dyDescent="0.15">
      <c r="A678" s="3"/>
    </row>
    <row r="679" spans="1:1" ht="13" x14ac:dyDescent="0.15">
      <c r="A679" s="3"/>
    </row>
    <row r="680" spans="1:1" ht="13" x14ac:dyDescent="0.15">
      <c r="A680" s="3"/>
    </row>
    <row r="681" spans="1:1" ht="13" x14ac:dyDescent="0.15">
      <c r="A681" s="3"/>
    </row>
    <row r="682" spans="1:1" ht="13" x14ac:dyDescent="0.15">
      <c r="A682" s="3"/>
    </row>
    <row r="683" spans="1:1" ht="13" x14ac:dyDescent="0.15">
      <c r="A683" s="3"/>
    </row>
    <row r="684" spans="1:1" ht="13" x14ac:dyDescent="0.15">
      <c r="A684" s="3"/>
    </row>
    <row r="685" spans="1:1" ht="13" x14ac:dyDescent="0.15">
      <c r="A685" s="3"/>
    </row>
    <row r="686" spans="1:1" ht="13" x14ac:dyDescent="0.15">
      <c r="A686" s="3"/>
    </row>
    <row r="687" spans="1:1" ht="13" x14ac:dyDescent="0.15">
      <c r="A687" s="3"/>
    </row>
    <row r="688" spans="1:1" ht="13" x14ac:dyDescent="0.15">
      <c r="A688" s="3"/>
    </row>
    <row r="689" spans="1:1" ht="13" x14ac:dyDescent="0.15">
      <c r="A689" s="3"/>
    </row>
    <row r="690" spans="1:1" ht="13" x14ac:dyDescent="0.15">
      <c r="A690" s="3"/>
    </row>
    <row r="691" spans="1:1" ht="13" x14ac:dyDescent="0.15">
      <c r="A691" s="3"/>
    </row>
    <row r="692" spans="1:1" ht="13" x14ac:dyDescent="0.15">
      <c r="A692" s="3"/>
    </row>
    <row r="693" spans="1:1" ht="13" x14ac:dyDescent="0.15">
      <c r="A693" s="3"/>
    </row>
    <row r="694" spans="1:1" ht="13" x14ac:dyDescent="0.15">
      <c r="A694" s="3"/>
    </row>
    <row r="695" spans="1:1" ht="13" x14ac:dyDescent="0.15">
      <c r="A695" s="3"/>
    </row>
    <row r="696" spans="1:1" ht="13" x14ac:dyDescent="0.15">
      <c r="A696" s="3"/>
    </row>
    <row r="697" spans="1:1" ht="13" x14ac:dyDescent="0.15">
      <c r="A697" s="3"/>
    </row>
    <row r="698" spans="1:1" ht="13" x14ac:dyDescent="0.15">
      <c r="A698" s="3"/>
    </row>
    <row r="699" spans="1:1" ht="13" x14ac:dyDescent="0.15">
      <c r="A699" s="3"/>
    </row>
    <row r="700" spans="1:1" ht="13" x14ac:dyDescent="0.15">
      <c r="A700" s="3"/>
    </row>
    <row r="701" spans="1:1" ht="13" x14ac:dyDescent="0.15">
      <c r="A701" s="3"/>
    </row>
    <row r="702" spans="1:1" ht="13" x14ac:dyDescent="0.15">
      <c r="A702" s="3"/>
    </row>
    <row r="703" spans="1:1" ht="13" x14ac:dyDescent="0.15">
      <c r="A703" s="3"/>
    </row>
    <row r="704" spans="1:1" ht="13" x14ac:dyDescent="0.15">
      <c r="A704" s="3"/>
    </row>
    <row r="705" spans="1:1" ht="13" x14ac:dyDescent="0.15">
      <c r="A705" s="3"/>
    </row>
    <row r="706" spans="1:1" ht="13" x14ac:dyDescent="0.15">
      <c r="A706" s="3"/>
    </row>
    <row r="707" spans="1:1" ht="13" x14ac:dyDescent="0.15">
      <c r="A707" s="3"/>
    </row>
    <row r="708" spans="1:1" ht="13" x14ac:dyDescent="0.15">
      <c r="A708" s="3"/>
    </row>
    <row r="709" spans="1:1" ht="13" x14ac:dyDescent="0.15">
      <c r="A709" s="3"/>
    </row>
    <row r="710" spans="1:1" ht="13" x14ac:dyDescent="0.15">
      <c r="A710" s="3"/>
    </row>
    <row r="711" spans="1:1" ht="13" x14ac:dyDescent="0.15">
      <c r="A711" s="3"/>
    </row>
    <row r="712" spans="1:1" ht="13" x14ac:dyDescent="0.15">
      <c r="A712" s="3"/>
    </row>
    <row r="713" spans="1:1" ht="13" x14ac:dyDescent="0.15">
      <c r="A713" s="3"/>
    </row>
    <row r="714" spans="1:1" ht="13" x14ac:dyDescent="0.15">
      <c r="A714" s="3"/>
    </row>
    <row r="715" spans="1:1" ht="13" x14ac:dyDescent="0.15">
      <c r="A715" s="3"/>
    </row>
    <row r="716" spans="1:1" ht="13" x14ac:dyDescent="0.15">
      <c r="A716" s="3"/>
    </row>
    <row r="717" spans="1:1" ht="13" x14ac:dyDescent="0.15">
      <c r="A717" s="3"/>
    </row>
    <row r="718" spans="1:1" ht="13" x14ac:dyDescent="0.15">
      <c r="A718" s="3"/>
    </row>
    <row r="719" spans="1:1" ht="13" x14ac:dyDescent="0.15">
      <c r="A719" s="3"/>
    </row>
    <row r="720" spans="1:1" ht="13" x14ac:dyDescent="0.15">
      <c r="A720" s="3"/>
    </row>
    <row r="721" spans="1:1" ht="13" x14ac:dyDescent="0.15">
      <c r="A721" s="3"/>
    </row>
    <row r="722" spans="1:1" ht="13" x14ac:dyDescent="0.15">
      <c r="A722" s="3"/>
    </row>
    <row r="723" spans="1:1" ht="13" x14ac:dyDescent="0.15">
      <c r="A723" s="3"/>
    </row>
    <row r="724" spans="1:1" ht="13" x14ac:dyDescent="0.15">
      <c r="A724" s="3"/>
    </row>
    <row r="725" spans="1:1" ht="13" x14ac:dyDescent="0.15">
      <c r="A725" s="3"/>
    </row>
    <row r="726" spans="1:1" ht="13" x14ac:dyDescent="0.15">
      <c r="A726" s="3"/>
    </row>
    <row r="727" spans="1:1" ht="13" x14ac:dyDescent="0.15">
      <c r="A727" s="3"/>
    </row>
    <row r="728" spans="1:1" ht="13" x14ac:dyDescent="0.15">
      <c r="A728" s="3"/>
    </row>
    <row r="729" spans="1:1" ht="13" x14ac:dyDescent="0.15">
      <c r="A729" s="3"/>
    </row>
    <row r="730" spans="1:1" ht="13" x14ac:dyDescent="0.15">
      <c r="A730" s="3"/>
    </row>
    <row r="731" spans="1:1" ht="13" x14ac:dyDescent="0.15">
      <c r="A731" s="3"/>
    </row>
    <row r="732" spans="1:1" ht="13" x14ac:dyDescent="0.15">
      <c r="A732" s="3"/>
    </row>
    <row r="733" spans="1:1" ht="13" x14ac:dyDescent="0.15">
      <c r="A733" s="3"/>
    </row>
    <row r="734" spans="1:1" ht="13" x14ac:dyDescent="0.15">
      <c r="A734" s="3"/>
    </row>
    <row r="735" spans="1:1" ht="13" x14ac:dyDescent="0.15">
      <c r="A735" s="3"/>
    </row>
    <row r="736" spans="1:1" ht="13" x14ac:dyDescent="0.15">
      <c r="A736" s="3"/>
    </row>
    <row r="737" spans="1:1" ht="13" x14ac:dyDescent="0.15">
      <c r="A737" s="3"/>
    </row>
    <row r="738" spans="1:1" ht="13" x14ac:dyDescent="0.15">
      <c r="A738" s="3"/>
    </row>
    <row r="739" spans="1:1" ht="13" x14ac:dyDescent="0.15">
      <c r="A739" s="3"/>
    </row>
    <row r="740" spans="1:1" ht="13" x14ac:dyDescent="0.15">
      <c r="A740" s="3"/>
    </row>
    <row r="741" spans="1:1" ht="13" x14ac:dyDescent="0.15">
      <c r="A741" s="3"/>
    </row>
    <row r="742" spans="1:1" ht="13" x14ac:dyDescent="0.15">
      <c r="A742" s="3"/>
    </row>
    <row r="743" spans="1:1" ht="13" x14ac:dyDescent="0.15">
      <c r="A743" s="3"/>
    </row>
    <row r="744" spans="1:1" ht="13" x14ac:dyDescent="0.15">
      <c r="A744" s="3"/>
    </row>
    <row r="745" spans="1:1" ht="13" x14ac:dyDescent="0.15">
      <c r="A745" s="3"/>
    </row>
    <row r="746" spans="1:1" ht="13" x14ac:dyDescent="0.15">
      <c r="A746" s="3"/>
    </row>
    <row r="747" spans="1:1" ht="13" x14ac:dyDescent="0.15">
      <c r="A747" s="3"/>
    </row>
    <row r="748" spans="1:1" ht="13" x14ac:dyDescent="0.15">
      <c r="A748" s="3"/>
    </row>
    <row r="749" spans="1:1" ht="13" x14ac:dyDescent="0.15">
      <c r="A749" s="3"/>
    </row>
    <row r="750" spans="1:1" ht="13" x14ac:dyDescent="0.15">
      <c r="A750" s="3"/>
    </row>
    <row r="751" spans="1:1" ht="13" x14ac:dyDescent="0.15">
      <c r="A751" s="3"/>
    </row>
    <row r="752" spans="1:1" ht="13" x14ac:dyDescent="0.15">
      <c r="A752" s="3"/>
    </row>
    <row r="753" spans="1:1" ht="13" x14ac:dyDescent="0.15">
      <c r="A753" s="3"/>
    </row>
    <row r="754" spans="1:1" ht="13" x14ac:dyDescent="0.15">
      <c r="A754" s="3"/>
    </row>
    <row r="755" spans="1:1" ht="13" x14ac:dyDescent="0.15">
      <c r="A755" s="3"/>
    </row>
    <row r="756" spans="1:1" ht="13" x14ac:dyDescent="0.15">
      <c r="A756" s="3"/>
    </row>
    <row r="757" spans="1:1" ht="13" x14ac:dyDescent="0.15">
      <c r="A757" s="3"/>
    </row>
    <row r="758" spans="1:1" ht="13" x14ac:dyDescent="0.15">
      <c r="A758" s="3"/>
    </row>
    <row r="759" spans="1:1" ht="13" x14ac:dyDescent="0.15">
      <c r="A759" s="3"/>
    </row>
    <row r="760" spans="1:1" ht="13" x14ac:dyDescent="0.15">
      <c r="A760" s="3"/>
    </row>
    <row r="761" spans="1:1" ht="13" x14ac:dyDescent="0.15">
      <c r="A761" s="3"/>
    </row>
    <row r="762" spans="1:1" ht="13" x14ac:dyDescent="0.15">
      <c r="A762" s="3"/>
    </row>
    <row r="763" spans="1:1" ht="13" x14ac:dyDescent="0.15">
      <c r="A763" s="3"/>
    </row>
    <row r="764" spans="1:1" ht="13" x14ac:dyDescent="0.15">
      <c r="A764" s="3"/>
    </row>
    <row r="765" spans="1:1" ht="13" x14ac:dyDescent="0.15">
      <c r="A765" s="3"/>
    </row>
    <row r="766" spans="1:1" ht="13" x14ac:dyDescent="0.15">
      <c r="A766" s="3"/>
    </row>
    <row r="767" spans="1:1" ht="13" x14ac:dyDescent="0.15">
      <c r="A767" s="3"/>
    </row>
    <row r="768" spans="1:1" ht="13" x14ac:dyDescent="0.15">
      <c r="A768" s="3"/>
    </row>
    <row r="769" spans="1:1" ht="13" x14ac:dyDescent="0.15">
      <c r="A769" s="3"/>
    </row>
    <row r="770" spans="1:1" ht="13" x14ac:dyDescent="0.15">
      <c r="A770" s="3"/>
    </row>
    <row r="771" spans="1:1" ht="13" x14ac:dyDescent="0.15">
      <c r="A771" s="3"/>
    </row>
    <row r="772" spans="1:1" ht="13" x14ac:dyDescent="0.15">
      <c r="A772" s="3"/>
    </row>
    <row r="773" spans="1:1" ht="13" x14ac:dyDescent="0.15">
      <c r="A773" s="3"/>
    </row>
    <row r="774" spans="1:1" ht="13" x14ac:dyDescent="0.15">
      <c r="A774" s="3"/>
    </row>
    <row r="775" spans="1:1" ht="13" x14ac:dyDescent="0.15">
      <c r="A775" s="3"/>
    </row>
    <row r="776" spans="1:1" ht="13" x14ac:dyDescent="0.15">
      <c r="A776" s="3"/>
    </row>
    <row r="777" spans="1:1" ht="13" x14ac:dyDescent="0.15">
      <c r="A777" s="3"/>
    </row>
    <row r="778" spans="1:1" ht="13" x14ac:dyDescent="0.15">
      <c r="A778" s="3"/>
    </row>
    <row r="779" spans="1:1" ht="13" x14ac:dyDescent="0.15">
      <c r="A779" s="3"/>
    </row>
    <row r="780" spans="1:1" ht="13" x14ac:dyDescent="0.15">
      <c r="A780" s="3"/>
    </row>
    <row r="781" spans="1:1" ht="13" x14ac:dyDescent="0.15">
      <c r="A781" s="3"/>
    </row>
    <row r="782" spans="1:1" ht="13" x14ac:dyDescent="0.15">
      <c r="A782" s="3"/>
    </row>
    <row r="783" spans="1:1" ht="13" x14ac:dyDescent="0.15">
      <c r="A783" s="3"/>
    </row>
    <row r="784" spans="1:1" ht="13" x14ac:dyDescent="0.15">
      <c r="A784" s="3"/>
    </row>
    <row r="785" spans="1:1" ht="13" x14ac:dyDescent="0.15">
      <c r="A785" s="3"/>
    </row>
    <row r="786" spans="1:1" ht="13" x14ac:dyDescent="0.15">
      <c r="A786" s="3"/>
    </row>
    <row r="787" spans="1:1" ht="13" x14ac:dyDescent="0.15">
      <c r="A787" s="3"/>
    </row>
    <row r="788" spans="1:1" ht="13" x14ac:dyDescent="0.15">
      <c r="A788" s="3"/>
    </row>
    <row r="789" spans="1:1" ht="13" x14ac:dyDescent="0.15">
      <c r="A789" s="3"/>
    </row>
    <row r="790" spans="1:1" ht="13" x14ac:dyDescent="0.15">
      <c r="A790" s="3"/>
    </row>
    <row r="791" spans="1:1" ht="13" x14ac:dyDescent="0.15">
      <c r="A791" s="3"/>
    </row>
    <row r="792" spans="1:1" ht="13" x14ac:dyDescent="0.15">
      <c r="A792" s="3"/>
    </row>
    <row r="793" spans="1:1" ht="13" x14ac:dyDescent="0.15">
      <c r="A793" s="3"/>
    </row>
    <row r="794" spans="1:1" ht="13" x14ac:dyDescent="0.15">
      <c r="A794" s="3"/>
    </row>
    <row r="795" spans="1:1" ht="13" x14ac:dyDescent="0.15">
      <c r="A795" s="3"/>
    </row>
    <row r="796" spans="1:1" ht="13" x14ac:dyDescent="0.15">
      <c r="A796" s="3"/>
    </row>
    <row r="797" spans="1:1" ht="13" x14ac:dyDescent="0.15">
      <c r="A797" s="3"/>
    </row>
    <row r="798" spans="1:1" ht="13" x14ac:dyDescent="0.15">
      <c r="A798" s="3"/>
    </row>
    <row r="799" spans="1:1" ht="13" x14ac:dyDescent="0.15">
      <c r="A799" s="3"/>
    </row>
    <row r="800" spans="1:1" ht="13" x14ac:dyDescent="0.15">
      <c r="A800" s="3"/>
    </row>
    <row r="801" spans="1:1" ht="13" x14ac:dyDescent="0.15">
      <c r="A801" s="3"/>
    </row>
    <row r="802" spans="1:1" ht="13" x14ac:dyDescent="0.15">
      <c r="A802" s="3"/>
    </row>
    <row r="803" spans="1:1" ht="13" x14ac:dyDescent="0.15">
      <c r="A803" s="3"/>
    </row>
    <row r="804" spans="1:1" ht="13" x14ac:dyDescent="0.15">
      <c r="A804" s="3"/>
    </row>
    <row r="805" spans="1:1" ht="13" x14ac:dyDescent="0.15">
      <c r="A805" s="3"/>
    </row>
    <row r="806" spans="1:1" ht="13" x14ac:dyDescent="0.15">
      <c r="A806" s="3"/>
    </row>
    <row r="807" spans="1:1" ht="13" x14ac:dyDescent="0.15">
      <c r="A807" s="3"/>
    </row>
    <row r="808" spans="1:1" ht="13" x14ac:dyDescent="0.15">
      <c r="A808" s="3"/>
    </row>
    <row r="809" spans="1:1" ht="13" x14ac:dyDescent="0.15">
      <c r="A809" s="3"/>
    </row>
    <row r="810" spans="1:1" ht="13" x14ac:dyDescent="0.15">
      <c r="A810" s="3"/>
    </row>
    <row r="811" spans="1:1" ht="13" x14ac:dyDescent="0.15">
      <c r="A811" s="3"/>
    </row>
    <row r="812" spans="1:1" ht="13" x14ac:dyDescent="0.15">
      <c r="A812" s="3"/>
    </row>
    <row r="813" spans="1:1" ht="13" x14ac:dyDescent="0.15">
      <c r="A813" s="3"/>
    </row>
    <row r="814" spans="1:1" ht="13" x14ac:dyDescent="0.15">
      <c r="A814" s="3"/>
    </row>
    <row r="815" spans="1:1" ht="13" x14ac:dyDescent="0.15">
      <c r="A815" s="3"/>
    </row>
    <row r="816" spans="1:1" ht="13" x14ac:dyDescent="0.15">
      <c r="A816" s="3"/>
    </row>
    <row r="817" spans="1:1" ht="13" x14ac:dyDescent="0.15">
      <c r="A817" s="3"/>
    </row>
    <row r="818" spans="1:1" ht="13" x14ac:dyDescent="0.15">
      <c r="A818" s="3"/>
    </row>
    <row r="819" spans="1:1" ht="13" x14ac:dyDescent="0.15">
      <c r="A819" s="3"/>
    </row>
    <row r="820" spans="1:1" ht="13" x14ac:dyDescent="0.15">
      <c r="A820" s="3"/>
    </row>
    <row r="821" spans="1:1" ht="13" x14ac:dyDescent="0.15">
      <c r="A821" s="3"/>
    </row>
    <row r="822" spans="1:1" ht="13" x14ac:dyDescent="0.15">
      <c r="A822" s="3"/>
    </row>
    <row r="823" spans="1:1" ht="13" x14ac:dyDescent="0.15">
      <c r="A823" s="3"/>
    </row>
    <row r="824" spans="1:1" ht="13" x14ac:dyDescent="0.15">
      <c r="A824" s="3"/>
    </row>
    <row r="825" spans="1:1" ht="13" x14ac:dyDescent="0.15">
      <c r="A825" s="3"/>
    </row>
    <row r="826" spans="1:1" ht="13" x14ac:dyDescent="0.15">
      <c r="A826" s="3"/>
    </row>
    <row r="827" spans="1:1" ht="13" x14ac:dyDescent="0.15">
      <c r="A827" s="3"/>
    </row>
    <row r="828" spans="1:1" ht="13" x14ac:dyDescent="0.15">
      <c r="A828" s="3"/>
    </row>
    <row r="829" spans="1:1" ht="13" x14ac:dyDescent="0.15">
      <c r="A829" s="3"/>
    </row>
    <row r="830" spans="1:1" ht="13" x14ac:dyDescent="0.15">
      <c r="A830" s="3"/>
    </row>
    <row r="831" spans="1:1" ht="13" x14ac:dyDescent="0.15">
      <c r="A831" s="3"/>
    </row>
    <row r="832" spans="1:1" ht="13" x14ac:dyDescent="0.15">
      <c r="A832" s="3"/>
    </row>
    <row r="833" spans="1:1" ht="13" x14ac:dyDescent="0.15">
      <c r="A833" s="3"/>
    </row>
    <row r="834" spans="1:1" ht="13" x14ac:dyDescent="0.15">
      <c r="A834" s="3"/>
    </row>
    <row r="835" spans="1:1" ht="13" x14ac:dyDescent="0.15">
      <c r="A835" s="3"/>
    </row>
    <row r="836" spans="1:1" ht="13" x14ac:dyDescent="0.15">
      <c r="A836" s="3"/>
    </row>
    <row r="837" spans="1:1" ht="13" x14ac:dyDescent="0.15">
      <c r="A837" s="3"/>
    </row>
    <row r="838" spans="1:1" ht="13" x14ac:dyDescent="0.15">
      <c r="A838" s="3"/>
    </row>
    <row r="839" spans="1:1" ht="13" x14ac:dyDescent="0.15">
      <c r="A839" s="3"/>
    </row>
    <row r="840" spans="1:1" ht="13" x14ac:dyDescent="0.15">
      <c r="A840" s="3"/>
    </row>
    <row r="841" spans="1:1" ht="13" x14ac:dyDescent="0.15">
      <c r="A841" s="3"/>
    </row>
    <row r="842" spans="1:1" ht="13" x14ac:dyDescent="0.15">
      <c r="A842" s="3"/>
    </row>
    <row r="843" spans="1:1" ht="13" x14ac:dyDescent="0.15">
      <c r="A843" s="3"/>
    </row>
    <row r="844" spans="1:1" ht="13" x14ac:dyDescent="0.15">
      <c r="A844" s="3"/>
    </row>
    <row r="845" spans="1:1" ht="13" x14ac:dyDescent="0.15">
      <c r="A845" s="3"/>
    </row>
    <row r="846" spans="1:1" ht="13" x14ac:dyDescent="0.15">
      <c r="A846" s="3"/>
    </row>
    <row r="847" spans="1:1" ht="13" x14ac:dyDescent="0.15">
      <c r="A847" s="3"/>
    </row>
    <row r="848" spans="1:1" ht="13" x14ac:dyDescent="0.15">
      <c r="A848" s="3"/>
    </row>
    <row r="849" spans="1:1" ht="13" x14ac:dyDescent="0.15">
      <c r="A849" s="3"/>
    </row>
    <row r="850" spans="1:1" ht="13" x14ac:dyDescent="0.15">
      <c r="A850" s="3"/>
    </row>
    <row r="851" spans="1:1" ht="13" x14ac:dyDescent="0.15">
      <c r="A851" s="3"/>
    </row>
    <row r="852" spans="1:1" ht="13" x14ac:dyDescent="0.15">
      <c r="A852" s="3"/>
    </row>
    <row r="853" spans="1:1" ht="13" x14ac:dyDescent="0.15">
      <c r="A853" s="3"/>
    </row>
    <row r="854" spans="1:1" ht="13" x14ac:dyDescent="0.15">
      <c r="A854" s="3"/>
    </row>
    <row r="855" spans="1:1" ht="13" x14ac:dyDescent="0.15">
      <c r="A855" s="3"/>
    </row>
    <row r="856" spans="1:1" ht="13" x14ac:dyDescent="0.15">
      <c r="A856" s="3"/>
    </row>
    <row r="857" spans="1:1" ht="13" x14ac:dyDescent="0.15">
      <c r="A857" s="3"/>
    </row>
    <row r="858" spans="1:1" ht="13" x14ac:dyDescent="0.15">
      <c r="A858" s="3"/>
    </row>
    <row r="859" spans="1:1" ht="13" x14ac:dyDescent="0.15">
      <c r="A859" s="3"/>
    </row>
    <row r="860" spans="1:1" ht="13" x14ac:dyDescent="0.15">
      <c r="A860" s="3"/>
    </row>
    <row r="861" spans="1:1" ht="13" x14ac:dyDescent="0.15">
      <c r="A861" s="3"/>
    </row>
    <row r="862" spans="1:1" ht="13" x14ac:dyDescent="0.15">
      <c r="A862" s="3"/>
    </row>
    <row r="863" spans="1:1" ht="13" x14ac:dyDescent="0.15">
      <c r="A863" s="3"/>
    </row>
    <row r="864" spans="1:1" ht="13" x14ac:dyDescent="0.15">
      <c r="A864" s="3"/>
    </row>
    <row r="865" spans="1:1" ht="13" x14ac:dyDescent="0.15">
      <c r="A865" s="3"/>
    </row>
    <row r="866" spans="1:1" ht="13" x14ac:dyDescent="0.15">
      <c r="A866" s="3"/>
    </row>
    <row r="867" spans="1:1" ht="13" x14ac:dyDescent="0.15">
      <c r="A867" s="3"/>
    </row>
    <row r="868" spans="1:1" ht="13" x14ac:dyDescent="0.15">
      <c r="A868" s="3"/>
    </row>
    <row r="869" spans="1:1" ht="13" x14ac:dyDescent="0.15">
      <c r="A869" s="3"/>
    </row>
    <row r="870" spans="1:1" ht="13" x14ac:dyDescent="0.15">
      <c r="A870" s="3"/>
    </row>
    <row r="871" spans="1:1" ht="13" x14ac:dyDescent="0.15">
      <c r="A871" s="3"/>
    </row>
    <row r="872" spans="1:1" ht="13" x14ac:dyDescent="0.15">
      <c r="A872" s="3"/>
    </row>
    <row r="873" spans="1:1" ht="13" x14ac:dyDescent="0.15">
      <c r="A873" s="3"/>
    </row>
    <row r="874" spans="1:1" ht="13" x14ac:dyDescent="0.15">
      <c r="A874" s="3"/>
    </row>
    <row r="875" spans="1:1" ht="13" x14ac:dyDescent="0.15">
      <c r="A875" s="3"/>
    </row>
    <row r="876" spans="1:1" ht="13" x14ac:dyDescent="0.15">
      <c r="A876" s="3"/>
    </row>
    <row r="877" spans="1:1" ht="13" x14ac:dyDescent="0.15">
      <c r="A877" s="3"/>
    </row>
    <row r="878" spans="1:1" ht="13" x14ac:dyDescent="0.15">
      <c r="A878" s="3"/>
    </row>
    <row r="879" spans="1:1" ht="13" x14ac:dyDescent="0.15">
      <c r="A879" s="3"/>
    </row>
    <row r="880" spans="1:1" ht="13" x14ac:dyDescent="0.15">
      <c r="A880" s="3"/>
    </row>
    <row r="881" spans="1:1" ht="13" x14ac:dyDescent="0.15">
      <c r="A881" s="3"/>
    </row>
    <row r="882" spans="1:1" ht="13" x14ac:dyDescent="0.15">
      <c r="A882" s="3"/>
    </row>
    <row r="883" spans="1:1" ht="13" x14ac:dyDescent="0.15">
      <c r="A883" s="3"/>
    </row>
    <row r="884" spans="1:1" ht="13" x14ac:dyDescent="0.15">
      <c r="A884" s="3"/>
    </row>
    <row r="885" spans="1:1" ht="13" x14ac:dyDescent="0.15">
      <c r="A885" s="3"/>
    </row>
    <row r="886" spans="1:1" ht="13" x14ac:dyDescent="0.15">
      <c r="A886" s="3"/>
    </row>
    <row r="887" spans="1:1" ht="13" x14ac:dyDescent="0.15">
      <c r="A887" s="3"/>
    </row>
    <row r="888" spans="1:1" ht="13" x14ac:dyDescent="0.15">
      <c r="A888" s="3"/>
    </row>
    <row r="889" spans="1:1" ht="13" x14ac:dyDescent="0.15">
      <c r="A889" s="3"/>
    </row>
    <row r="890" spans="1:1" ht="13" x14ac:dyDescent="0.15">
      <c r="A890" s="3"/>
    </row>
    <row r="891" spans="1:1" ht="13" x14ac:dyDescent="0.15">
      <c r="A891" s="3"/>
    </row>
    <row r="892" spans="1:1" ht="13" x14ac:dyDescent="0.15">
      <c r="A892" s="3"/>
    </row>
    <row r="893" spans="1:1" ht="13" x14ac:dyDescent="0.15">
      <c r="A893" s="3"/>
    </row>
    <row r="894" spans="1:1" ht="13" x14ac:dyDescent="0.15">
      <c r="A894" s="3"/>
    </row>
    <row r="895" spans="1:1" ht="13" x14ac:dyDescent="0.15">
      <c r="A895" s="3"/>
    </row>
    <row r="896" spans="1:1" ht="13" x14ac:dyDescent="0.15">
      <c r="A896" s="3"/>
    </row>
    <row r="897" spans="1:1" ht="13" x14ac:dyDescent="0.15">
      <c r="A897" s="3"/>
    </row>
    <row r="898" spans="1:1" ht="13" x14ac:dyDescent="0.15">
      <c r="A898" s="3"/>
    </row>
    <row r="899" spans="1:1" ht="13" x14ac:dyDescent="0.15">
      <c r="A899" s="3"/>
    </row>
    <row r="900" spans="1:1" ht="13" x14ac:dyDescent="0.15">
      <c r="A900" s="3"/>
    </row>
    <row r="901" spans="1:1" ht="13" x14ac:dyDescent="0.15">
      <c r="A901" s="3"/>
    </row>
    <row r="902" spans="1:1" ht="13" x14ac:dyDescent="0.15">
      <c r="A902" s="3"/>
    </row>
    <row r="903" spans="1:1" ht="13" x14ac:dyDescent="0.15">
      <c r="A903" s="3"/>
    </row>
    <row r="904" spans="1:1" ht="13" x14ac:dyDescent="0.15">
      <c r="A904" s="3"/>
    </row>
    <row r="905" spans="1:1" ht="13" x14ac:dyDescent="0.15">
      <c r="A905" s="3"/>
    </row>
    <row r="906" spans="1:1" ht="13" x14ac:dyDescent="0.15">
      <c r="A906" s="3"/>
    </row>
    <row r="907" spans="1:1" ht="13" x14ac:dyDescent="0.15">
      <c r="A907" s="3"/>
    </row>
    <row r="908" spans="1:1" ht="13" x14ac:dyDescent="0.15">
      <c r="A908" s="3"/>
    </row>
    <row r="909" spans="1:1" ht="13" x14ac:dyDescent="0.15">
      <c r="A909" s="3"/>
    </row>
    <row r="910" spans="1:1" ht="13" x14ac:dyDescent="0.15">
      <c r="A910" s="3"/>
    </row>
    <row r="911" spans="1:1" ht="13" x14ac:dyDescent="0.15">
      <c r="A911" s="3"/>
    </row>
    <row r="912" spans="1:1" ht="13" x14ac:dyDescent="0.15">
      <c r="A912" s="3"/>
    </row>
    <row r="913" spans="1:1" ht="13" x14ac:dyDescent="0.15">
      <c r="A913" s="3"/>
    </row>
    <row r="914" spans="1:1" ht="13" x14ac:dyDescent="0.15">
      <c r="A914" s="3"/>
    </row>
    <row r="915" spans="1:1" ht="13" x14ac:dyDescent="0.15">
      <c r="A915" s="3"/>
    </row>
    <row r="916" spans="1:1" ht="13" x14ac:dyDescent="0.15">
      <c r="A916" s="3"/>
    </row>
    <row r="917" spans="1:1" ht="13" x14ac:dyDescent="0.15">
      <c r="A917" s="3"/>
    </row>
    <row r="918" spans="1:1" ht="13" x14ac:dyDescent="0.15">
      <c r="A918" s="3"/>
    </row>
    <row r="919" spans="1:1" ht="13" x14ac:dyDescent="0.15">
      <c r="A919" s="3"/>
    </row>
    <row r="920" spans="1:1" ht="13" x14ac:dyDescent="0.15">
      <c r="A920" s="3"/>
    </row>
    <row r="921" spans="1:1" ht="13" x14ac:dyDescent="0.15">
      <c r="A921" s="3"/>
    </row>
    <row r="922" spans="1:1" ht="13" x14ac:dyDescent="0.15">
      <c r="A922" s="3"/>
    </row>
    <row r="923" spans="1:1" ht="13" x14ac:dyDescent="0.15">
      <c r="A923" s="3"/>
    </row>
    <row r="924" spans="1:1" ht="13" x14ac:dyDescent="0.15">
      <c r="A924" s="3"/>
    </row>
    <row r="925" spans="1:1" ht="13" x14ac:dyDescent="0.15">
      <c r="A925" s="3"/>
    </row>
    <row r="926" spans="1:1" ht="13" x14ac:dyDescent="0.15">
      <c r="A926" s="3"/>
    </row>
    <row r="927" spans="1:1" ht="13" x14ac:dyDescent="0.15">
      <c r="A927" s="3"/>
    </row>
    <row r="928" spans="1:1" ht="13" x14ac:dyDescent="0.15">
      <c r="A928" s="3"/>
    </row>
    <row r="929" spans="1:1" ht="13" x14ac:dyDescent="0.15">
      <c r="A929" s="3"/>
    </row>
    <row r="930" spans="1:1" ht="13" x14ac:dyDescent="0.15">
      <c r="A930" s="3"/>
    </row>
    <row r="931" spans="1:1" ht="13" x14ac:dyDescent="0.15">
      <c r="A931" s="3"/>
    </row>
    <row r="932" spans="1:1" ht="13" x14ac:dyDescent="0.15">
      <c r="A932" s="3"/>
    </row>
    <row r="933" spans="1:1" ht="13" x14ac:dyDescent="0.15">
      <c r="A933" s="3"/>
    </row>
    <row r="934" spans="1:1" ht="13" x14ac:dyDescent="0.15">
      <c r="A934" s="3"/>
    </row>
    <row r="935" spans="1:1" ht="13" x14ac:dyDescent="0.15">
      <c r="A935" s="3"/>
    </row>
    <row r="936" spans="1:1" ht="13" x14ac:dyDescent="0.15">
      <c r="A936" s="3"/>
    </row>
    <row r="937" spans="1:1" ht="13" x14ac:dyDescent="0.15">
      <c r="A937" s="3"/>
    </row>
    <row r="938" spans="1:1" ht="13" x14ac:dyDescent="0.15">
      <c r="A938" s="3"/>
    </row>
    <row r="939" spans="1:1" ht="13" x14ac:dyDescent="0.15">
      <c r="A939" s="3"/>
    </row>
    <row r="940" spans="1:1" ht="13" x14ac:dyDescent="0.15">
      <c r="A940" s="3"/>
    </row>
    <row r="941" spans="1:1" ht="13" x14ac:dyDescent="0.15">
      <c r="A941" s="3"/>
    </row>
    <row r="942" spans="1:1" ht="13" x14ac:dyDescent="0.15">
      <c r="A942" s="3"/>
    </row>
    <row r="943" spans="1:1" ht="13" x14ac:dyDescent="0.15">
      <c r="A943" s="3"/>
    </row>
    <row r="944" spans="1:1" ht="13" x14ac:dyDescent="0.15">
      <c r="A944" s="3"/>
    </row>
    <row r="945" spans="1:1" ht="13" x14ac:dyDescent="0.15">
      <c r="A945" s="3"/>
    </row>
    <row r="946" spans="1:1" ht="13" x14ac:dyDescent="0.15">
      <c r="A946" s="3"/>
    </row>
    <row r="947" spans="1:1" ht="13" x14ac:dyDescent="0.15">
      <c r="A947" s="3"/>
    </row>
    <row r="948" spans="1:1" ht="13" x14ac:dyDescent="0.15">
      <c r="A948" s="3"/>
    </row>
    <row r="949" spans="1:1" ht="13" x14ac:dyDescent="0.15">
      <c r="A949" s="3"/>
    </row>
    <row r="950" spans="1:1" ht="13" x14ac:dyDescent="0.15">
      <c r="A950" s="3"/>
    </row>
    <row r="951" spans="1:1" ht="13" x14ac:dyDescent="0.15">
      <c r="A951" s="3"/>
    </row>
    <row r="952" spans="1:1" ht="13" x14ac:dyDescent="0.15">
      <c r="A952" s="3"/>
    </row>
    <row r="953" spans="1:1" ht="13" x14ac:dyDescent="0.15">
      <c r="A953" s="3"/>
    </row>
    <row r="954" spans="1:1" ht="13" x14ac:dyDescent="0.15">
      <c r="A954" s="3"/>
    </row>
    <row r="955" spans="1:1" ht="13" x14ac:dyDescent="0.15">
      <c r="A955" s="3"/>
    </row>
    <row r="956" spans="1:1" ht="13" x14ac:dyDescent="0.15">
      <c r="A956" s="3"/>
    </row>
    <row r="957" spans="1:1" ht="13" x14ac:dyDescent="0.15">
      <c r="A957" s="3"/>
    </row>
    <row r="958" spans="1:1" ht="13" x14ac:dyDescent="0.15">
      <c r="A958" s="3"/>
    </row>
    <row r="959" spans="1:1" ht="13" x14ac:dyDescent="0.15">
      <c r="A959" s="3"/>
    </row>
    <row r="960" spans="1:1" ht="13" x14ac:dyDescent="0.15">
      <c r="A960" s="3"/>
    </row>
    <row r="961" spans="1:1" ht="13" x14ac:dyDescent="0.15">
      <c r="A961" s="3"/>
    </row>
    <row r="962" spans="1:1" ht="13" x14ac:dyDescent="0.15">
      <c r="A962" s="3"/>
    </row>
    <row r="963" spans="1:1" ht="13" x14ac:dyDescent="0.15">
      <c r="A963" s="3"/>
    </row>
    <row r="964" spans="1:1" ht="13" x14ac:dyDescent="0.15">
      <c r="A964" s="3"/>
    </row>
    <row r="965" spans="1:1" ht="13" x14ac:dyDescent="0.15">
      <c r="A965" s="3"/>
    </row>
    <row r="966" spans="1:1" ht="13" x14ac:dyDescent="0.15">
      <c r="A966" s="3"/>
    </row>
    <row r="967" spans="1:1" ht="13" x14ac:dyDescent="0.15">
      <c r="A967" s="3"/>
    </row>
    <row r="968" spans="1:1" ht="13" x14ac:dyDescent="0.15">
      <c r="A968" s="3"/>
    </row>
    <row r="969" spans="1:1" ht="13" x14ac:dyDescent="0.15">
      <c r="A969" s="3"/>
    </row>
    <row r="970" spans="1:1" ht="13" x14ac:dyDescent="0.15">
      <c r="A970" s="3"/>
    </row>
    <row r="971" spans="1:1" ht="13" x14ac:dyDescent="0.15">
      <c r="A971" s="3"/>
    </row>
    <row r="972" spans="1:1" ht="13" x14ac:dyDescent="0.15">
      <c r="A972" s="3"/>
    </row>
    <row r="973" spans="1:1" ht="13" x14ac:dyDescent="0.15">
      <c r="A973" s="3"/>
    </row>
    <row r="974" spans="1:1" ht="13" x14ac:dyDescent="0.15">
      <c r="A974" s="3"/>
    </row>
    <row r="975" spans="1:1" ht="13" x14ac:dyDescent="0.15">
      <c r="A975" s="3"/>
    </row>
    <row r="976" spans="1:1" ht="13" x14ac:dyDescent="0.15">
      <c r="A976" s="3"/>
    </row>
    <row r="977" spans="1:1" ht="13" x14ac:dyDescent="0.15">
      <c r="A977" s="3"/>
    </row>
    <row r="978" spans="1:1" ht="13" x14ac:dyDescent="0.15">
      <c r="A978" s="3"/>
    </row>
    <row r="979" spans="1:1" ht="13" x14ac:dyDescent="0.15">
      <c r="A979" s="3"/>
    </row>
    <row r="980" spans="1:1" ht="13" x14ac:dyDescent="0.15">
      <c r="A980" s="3"/>
    </row>
    <row r="981" spans="1:1" ht="13" x14ac:dyDescent="0.15">
      <c r="A981" s="3"/>
    </row>
    <row r="982" spans="1:1" ht="13" x14ac:dyDescent="0.15">
      <c r="A982" s="3"/>
    </row>
    <row r="983" spans="1:1" ht="13" x14ac:dyDescent="0.15">
      <c r="A983"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983"/>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0.1, May 1, 2024</v>
      </c>
      <c r="B1" s="2"/>
      <c r="C1" s="2"/>
      <c r="D1" s="2"/>
      <c r="E1" s="2"/>
      <c r="F1" s="2"/>
      <c r="G1" s="2"/>
      <c r="H1" s="2"/>
      <c r="I1" s="2"/>
      <c r="J1" s="2"/>
      <c r="K1" s="2"/>
      <c r="L1" s="2"/>
      <c r="M1" s="2"/>
      <c r="N1" s="2"/>
      <c r="O1" s="2"/>
      <c r="P1" s="2"/>
      <c r="Q1" s="2"/>
      <c r="R1" s="2"/>
      <c r="S1" s="2"/>
      <c r="T1" s="2"/>
      <c r="U1" s="2"/>
      <c r="V1" s="2"/>
      <c r="W1" s="2"/>
      <c r="X1" s="2"/>
      <c r="Y1" s="2"/>
    </row>
    <row r="2" spans="1:26" x14ac:dyDescent="0.2">
      <c r="A2" s="4" t="s">
        <v>38</v>
      </c>
      <c r="B2" s="2"/>
      <c r="C2" s="2"/>
      <c r="D2" s="3"/>
      <c r="E2" s="3"/>
      <c r="F2" s="2"/>
      <c r="G2" s="2"/>
      <c r="H2" s="2"/>
      <c r="I2" s="2"/>
      <c r="J2" s="2"/>
      <c r="K2" s="2"/>
      <c r="L2" s="2"/>
      <c r="M2" s="2"/>
      <c r="N2" s="2"/>
      <c r="O2" s="2"/>
      <c r="P2" s="2"/>
      <c r="Q2" s="2"/>
      <c r="R2" s="2"/>
      <c r="S2" s="2"/>
      <c r="T2" s="2"/>
      <c r="U2" s="2"/>
      <c r="V2" s="2"/>
      <c r="W2" s="2"/>
      <c r="X2" s="2"/>
      <c r="Y2" s="2"/>
    </row>
    <row r="3" spans="1:26" ht="15.75" customHeight="1" x14ac:dyDescent="0.15">
      <c r="A3" s="12" t="s">
        <v>39</v>
      </c>
      <c r="B3" s="13"/>
      <c r="C3" s="13"/>
      <c r="D3" s="3"/>
      <c r="E3" s="3"/>
      <c r="F3" s="2"/>
      <c r="G3" s="2"/>
      <c r="H3" s="2"/>
      <c r="I3" s="2"/>
      <c r="J3" s="2"/>
      <c r="K3" s="2"/>
      <c r="L3" s="13"/>
      <c r="M3" s="13"/>
      <c r="N3" s="13"/>
      <c r="O3" s="13"/>
      <c r="P3" s="13"/>
      <c r="Q3" s="13"/>
      <c r="R3" s="13"/>
      <c r="S3" s="13"/>
      <c r="T3" s="13"/>
      <c r="U3" s="13"/>
      <c r="V3" s="13"/>
      <c r="W3" s="13"/>
      <c r="X3" s="13"/>
      <c r="Y3" s="13"/>
      <c r="Z3" s="13"/>
    </row>
    <row r="4" spans="1:26" ht="15.75" customHeight="1" x14ac:dyDescent="0.15">
      <c r="A4" s="5" t="s">
        <v>14</v>
      </c>
      <c r="B4" s="5" t="s">
        <v>2</v>
      </c>
      <c r="C4" s="5" t="s">
        <v>4</v>
      </c>
      <c r="D4" s="5" t="s">
        <v>5</v>
      </c>
      <c r="E4" s="5" t="s">
        <v>6</v>
      </c>
      <c r="F4" s="5" t="s">
        <v>7</v>
      </c>
      <c r="G4" s="5" t="s">
        <v>8</v>
      </c>
      <c r="H4" s="5" t="s">
        <v>9</v>
      </c>
      <c r="I4" s="5" t="s">
        <v>10</v>
      </c>
      <c r="J4" s="5" t="s">
        <v>11</v>
      </c>
      <c r="K4" s="5"/>
      <c r="L4" s="5"/>
      <c r="M4" s="5"/>
      <c r="N4" s="5"/>
      <c r="O4" s="5"/>
      <c r="P4" s="5"/>
      <c r="Q4" s="5"/>
      <c r="R4" s="5"/>
      <c r="S4" s="5"/>
      <c r="T4" s="5"/>
      <c r="U4" s="5"/>
      <c r="V4" s="5"/>
      <c r="W4" s="5"/>
      <c r="X4" s="7"/>
      <c r="Y4" s="7"/>
      <c r="Z4" s="7"/>
    </row>
    <row r="5" spans="1:26" ht="15.75" customHeight="1" x14ac:dyDescent="0.15">
      <c r="A5" s="3" t="str">
        <f ca="1">IFERROR(__xludf.DUMMYFUNCTION("IMPORTRANGE(""https://docs.google.com/spreadsheets/d/1C7ebseLw3CypDIkJDJaWHHfWiV3njB56moaBb7gLWo8/edit#gid=0"",""Adopter Type Items!A5:A"")"),"Innovator")</f>
        <v>Innovator</v>
      </c>
      <c r="B5" s="3" t="str">
        <f ca="1">IFERROR(__xludf.DUMMYFUNCTION("IMPORTRANGE(""https://docs.google.com/spreadsheets/d/1C7ebseLw3CypDIkJDJaWHHfWiV3njB56moaBb7gLWo8/edit#gid=0"",""Adopter Type Items!B5:B"")"),"INNO")</f>
        <v>INNO</v>
      </c>
      <c r="C5" s="3" t="str">
        <f ca="1">IFERROR(__xludf.DUMMYFUNCTION("GOOGLETRANSLATE($A5,""en"",""de"")"),"Innovator")</f>
        <v>Innovator</v>
      </c>
      <c r="D5" s="3" t="str">
        <f ca="1">IFERROR(__xludf.DUMMYFUNCTION("GOOGLETRANSLATE($A5,""en"",""fr"")"),"Innovateur")</f>
        <v>Innovateur</v>
      </c>
      <c r="E5" s="3" t="str">
        <f ca="1">IFERROR(__xludf.DUMMYFUNCTION("GOOGLETRANSLATE($A5,""en"",""es"")"),"Innovador")</f>
        <v>Innovador</v>
      </c>
      <c r="F5" s="3" t="str">
        <f ca="1">IFERROR(__xludf.DUMMYFUNCTION("GOOGLETRANSLATE($A5,""en"",""it"")"),"Innovatore")</f>
        <v>Innovatore</v>
      </c>
      <c r="G5" s="3" t="str">
        <f ca="1">IFERROR(__xludf.DUMMYFUNCTION("GOOGLETRANSLATE($A5,""en"",""zh-cn"")"),"创新者")</f>
        <v>创新者</v>
      </c>
      <c r="H5" s="3" t="str">
        <f ca="1">IFERROR(__xludf.DUMMYFUNCTION("GOOGLETRANSLATE($A5,""en"",""ja"")"),"イノベーター")</f>
        <v>イノベーター</v>
      </c>
      <c r="I5" s="3" t="str">
        <f ca="1">IFERROR(__xludf.DUMMYFUNCTION("GOOGLETRANSLATE($A5,""en"",""ko"")"),"혁신가")</f>
        <v>혁신가</v>
      </c>
      <c r="J5" s="3" t="str">
        <f ca="1">IFERROR(__xludf.DUMMYFUNCTION("GOOGLETRANSLATE($A5,""en"",""pt-BR"")"),"Inovador")</f>
        <v>Inovador</v>
      </c>
    </row>
    <row r="6" spans="1:26" ht="15.75" customHeight="1" x14ac:dyDescent="0.15">
      <c r="A6" s="3" t="str">
        <f ca="1">IFERROR(__xludf.DUMMYFUNCTION("""COMPUTED_VALUE"""),"Early")</f>
        <v>Early</v>
      </c>
      <c r="B6" s="3" t="str">
        <f ca="1">IFERROR(__xludf.DUMMYFUNCTION("""COMPUTED_VALUE"""),"EARL")</f>
        <v>EARL</v>
      </c>
      <c r="C6" s="3" t="str">
        <f ca="1">IFERROR(__xludf.DUMMYFUNCTION("GOOGLETRANSLATE($A6,""en"",""de"")"),"Früh")</f>
        <v>Früh</v>
      </c>
      <c r="D6" s="3" t="str">
        <f ca="1">IFERROR(__xludf.DUMMYFUNCTION("GOOGLETRANSLATE($A6,""en"",""fr"")"),"Tôt")</f>
        <v>Tôt</v>
      </c>
      <c r="E6" s="3" t="str">
        <f ca="1">IFERROR(__xludf.DUMMYFUNCTION("GOOGLETRANSLATE($A6,""en"",""es"")"),"Temprano")</f>
        <v>Temprano</v>
      </c>
      <c r="F6" s="3" t="str">
        <f ca="1">IFERROR(__xludf.DUMMYFUNCTION("GOOGLETRANSLATE($A6,""en"",""it"")"),"Presto")</f>
        <v>Presto</v>
      </c>
      <c r="G6" s="3" t="str">
        <f ca="1">IFERROR(__xludf.DUMMYFUNCTION("GOOGLETRANSLATE($A6,""en"",""zh-cn"")"),"早期的")</f>
        <v>早期的</v>
      </c>
      <c r="H6" s="3" t="str">
        <f ca="1">IFERROR(__xludf.DUMMYFUNCTION("GOOGLETRANSLATE($A6,""en"",""ja"")"),"早い")</f>
        <v>早い</v>
      </c>
      <c r="I6" s="3" t="str">
        <f ca="1">IFERROR(__xludf.DUMMYFUNCTION("GOOGLETRANSLATE($A6,""en"",""ko"")"),"일찍")</f>
        <v>일찍</v>
      </c>
      <c r="J6" s="3" t="str">
        <f ca="1">IFERROR(__xludf.DUMMYFUNCTION("GOOGLETRANSLATE($A6,""en"",""pt-BR"")"),"Cedo")</f>
        <v>Cedo</v>
      </c>
    </row>
    <row r="7" spans="1:26" ht="15.75" customHeight="1" x14ac:dyDescent="0.15">
      <c r="A7" s="3" t="str">
        <f ca="1">IFERROR(__xludf.DUMMYFUNCTION("""COMPUTED_VALUE"""),"Middle")</f>
        <v>Middle</v>
      </c>
      <c r="B7" s="3" t="str">
        <f ca="1">IFERROR(__xludf.DUMMYFUNCTION("""COMPUTED_VALUE"""),"MIDD")</f>
        <v>MIDD</v>
      </c>
      <c r="C7" s="3" t="str">
        <f ca="1">IFERROR(__xludf.DUMMYFUNCTION("GOOGLETRANSLATE($A7,""en"",""de"")"),"Mitte")</f>
        <v>Mitte</v>
      </c>
      <c r="D7" s="3" t="str">
        <f ca="1">IFERROR(__xludf.DUMMYFUNCTION("GOOGLETRANSLATE($A7,""en"",""fr"")"),"Milieu")</f>
        <v>Milieu</v>
      </c>
      <c r="E7" s="3" t="str">
        <f ca="1">IFERROR(__xludf.DUMMYFUNCTION("GOOGLETRANSLATE($A7,""en"",""es"")"),"Medio")</f>
        <v>Medio</v>
      </c>
      <c r="F7" s="3" t="str">
        <f ca="1">IFERROR(__xludf.DUMMYFUNCTION("GOOGLETRANSLATE($A7,""en"",""it"")"),"Mezzo")</f>
        <v>Mezzo</v>
      </c>
      <c r="G7" s="3" t="str">
        <f ca="1">IFERROR(__xludf.DUMMYFUNCTION("GOOGLETRANSLATE($A7,""en"",""zh-cn"")"),"中间")</f>
        <v>中间</v>
      </c>
      <c r="H7" s="3" t="str">
        <f ca="1">IFERROR(__xludf.DUMMYFUNCTION("GOOGLETRANSLATE($A7,""en"",""ja"")"),"真ん中")</f>
        <v>真ん中</v>
      </c>
      <c r="I7" s="3" t="str">
        <f ca="1">IFERROR(__xludf.DUMMYFUNCTION("GOOGLETRANSLATE($A7,""en"",""ko"")"),"가운데")</f>
        <v>가운데</v>
      </c>
      <c r="J7" s="3" t="str">
        <f ca="1">IFERROR(__xludf.DUMMYFUNCTION("GOOGLETRANSLATE($A7,""en"",""pt-BR"")"),"Meio")</f>
        <v>Meio</v>
      </c>
    </row>
    <row r="8" spans="1:26" ht="15.75" customHeight="1" x14ac:dyDescent="0.15">
      <c r="A8" s="3" t="str">
        <f ca="1">IFERROR(__xludf.DUMMYFUNCTION("""COMPUTED_VALUE"""),"Late")</f>
        <v>Late</v>
      </c>
      <c r="B8" s="3" t="str">
        <f ca="1">IFERROR(__xludf.DUMMYFUNCTION("""COMPUTED_VALUE"""),"LATE")</f>
        <v>LATE</v>
      </c>
      <c r="C8" s="3" t="str">
        <f ca="1">IFERROR(__xludf.DUMMYFUNCTION("GOOGLETRANSLATE($A8,""en"",""de"")"),"Spät")</f>
        <v>Spät</v>
      </c>
      <c r="D8" s="3" t="str">
        <f ca="1">IFERROR(__xludf.DUMMYFUNCTION("GOOGLETRANSLATE($A8,""en"",""fr"")"),"En retard")</f>
        <v>En retard</v>
      </c>
      <c r="E8" s="3" t="str">
        <f ca="1">IFERROR(__xludf.DUMMYFUNCTION("GOOGLETRANSLATE($A8,""en"",""es"")"),"Tarde")</f>
        <v>Tarde</v>
      </c>
      <c r="F8" s="3" t="str">
        <f ca="1">IFERROR(__xludf.DUMMYFUNCTION("GOOGLETRANSLATE($A8,""en"",""it"")"),"Tardi")</f>
        <v>Tardi</v>
      </c>
      <c r="G8" s="3" t="str">
        <f ca="1">IFERROR(__xludf.DUMMYFUNCTION("GOOGLETRANSLATE($A8,""en"",""zh-cn"")"),"晚的")</f>
        <v>晚的</v>
      </c>
      <c r="H8" s="3" t="str">
        <f ca="1">IFERROR(__xludf.DUMMYFUNCTION("GOOGLETRANSLATE($A8,""en"",""ja"")"),"遅い")</f>
        <v>遅い</v>
      </c>
      <c r="I8" s="3" t="str">
        <f ca="1">IFERROR(__xludf.DUMMYFUNCTION("GOOGLETRANSLATE($A8,""en"",""ko"")"),"늦은")</f>
        <v>늦은</v>
      </c>
      <c r="J8" s="3" t="str">
        <f ca="1">IFERROR(__xludf.DUMMYFUNCTION("GOOGLETRANSLATE($A8,""en"",""pt-BR"")"),"Tarde")</f>
        <v>Tarde</v>
      </c>
    </row>
    <row r="9" spans="1:26" ht="15.75" customHeight="1" x14ac:dyDescent="0.15">
      <c r="A9" s="3"/>
      <c r="B9" s="3"/>
    </row>
    <row r="10" spans="1:26" ht="15.75" customHeight="1" x14ac:dyDescent="0.15">
      <c r="A10" s="3"/>
      <c r="B10" s="3"/>
      <c r="C10" s="3"/>
    </row>
    <row r="11" spans="1:26" ht="15.75" customHeight="1" x14ac:dyDescent="0.15">
      <c r="A11" s="3"/>
      <c r="B11" s="3"/>
      <c r="C11" s="3"/>
    </row>
    <row r="12" spans="1:26" ht="15.75" customHeight="1" x14ac:dyDescent="0.15">
      <c r="A12" s="3"/>
      <c r="B12" s="3"/>
      <c r="C12" s="3"/>
    </row>
    <row r="13" spans="1:26" ht="15.75" customHeight="1" x14ac:dyDescent="0.15">
      <c r="A13" s="3"/>
      <c r="B13" s="3"/>
      <c r="C13" s="3"/>
    </row>
    <row r="14" spans="1:26" ht="15.75" customHeight="1" x14ac:dyDescent="0.15">
      <c r="A14" s="3"/>
      <c r="B14" s="3"/>
      <c r="C14" s="3"/>
    </row>
    <row r="15" spans="1:26" ht="15.75" customHeight="1" x14ac:dyDescent="0.15">
      <c r="A15" s="3"/>
      <c r="B15" s="3"/>
      <c r="C15" s="3"/>
    </row>
    <row r="16" spans="1:26" ht="15.75" customHeight="1" x14ac:dyDescent="0.15">
      <c r="A16" s="3"/>
      <c r="B16" s="3"/>
      <c r="C16" s="3"/>
    </row>
    <row r="17" spans="1:3" ht="15.75" customHeight="1" x14ac:dyDescent="0.15">
      <c r="A17" s="3"/>
      <c r="B17" s="3"/>
      <c r="C17" s="3"/>
    </row>
    <row r="18" spans="1:3" ht="15.75" customHeight="1" x14ac:dyDescent="0.15">
      <c r="A18" s="3"/>
      <c r="B18" s="3"/>
      <c r="C18" s="3"/>
    </row>
    <row r="19" spans="1:3" ht="15.75" customHeight="1" x14ac:dyDescent="0.15">
      <c r="A19" s="3"/>
      <c r="B19" s="3"/>
      <c r="C19" s="3"/>
    </row>
    <row r="20" spans="1:3" ht="15.75" customHeight="1" x14ac:dyDescent="0.15">
      <c r="A20" s="3"/>
      <c r="B20" s="3"/>
      <c r="C20" s="3"/>
    </row>
    <row r="21" spans="1:3" ht="15.75" customHeight="1" x14ac:dyDescent="0.15">
      <c r="A21" s="3"/>
      <c r="B21" s="3"/>
      <c r="C21" s="3"/>
    </row>
    <row r="22" spans="1:3" ht="15.75" customHeight="1" x14ac:dyDescent="0.15">
      <c r="A22" s="3"/>
      <c r="B22" s="3"/>
      <c r="C22" s="3"/>
    </row>
    <row r="23" spans="1:3" ht="15.75" customHeight="1" x14ac:dyDescent="0.15">
      <c r="A23" s="3"/>
      <c r="B23" s="3"/>
    </row>
    <row r="24" spans="1:3" ht="15.75" customHeight="1" x14ac:dyDescent="0.15">
      <c r="A24" s="3"/>
      <c r="B24" s="3"/>
    </row>
    <row r="25" spans="1:3" ht="15.75" customHeight="1" x14ac:dyDescent="0.15">
      <c r="A25" s="3"/>
      <c r="B25" s="3"/>
    </row>
    <row r="26" spans="1:3" ht="15.75" customHeight="1" x14ac:dyDescent="0.15">
      <c r="A26" s="3"/>
      <c r="B26" s="3"/>
    </row>
    <row r="27" spans="1:3" ht="15.75" customHeight="1" x14ac:dyDescent="0.15">
      <c r="A27" s="3"/>
      <c r="B27" s="3"/>
    </row>
    <row r="28" spans="1:3" ht="15.75" customHeight="1" x14ac:dyDescent="0.15">
      <c r="A28" s="3"/>
      <c r="B28" s="3"/>
    </row>
    <row r="29" spans="1:3" ht="15.75" customHeight="1" x14ac:dyDescent="0.15">
      <c r="A29" s="3"/>
      <c r="B29" s="3"/>
    </row>
    <row r="30" spans="1:3" ht="15.75" customHeight="1" x14ac:dyDescent="0.15">
      <c r="A30" s="3"/>
      <c r="B30" s="3"/>
    </row>
    <row r="31" spans="1:3" ht="15.75" customHeight="1" x14ac:dyDescent="0.15">
      <c r="A31" s="3"/>
      <c r="B31" s="3"/>
    </row>
    <row r="32" spans="1:3" ht="15.75" customHeight="1" x14ac:dyDescent="0.15">
      <c r="A32" s="3"/>
      <c r="B32" s="3"/>
    </row>
    <row r="33" spans="1:2" ht="15.75" customHeight="1" x14ac:dyDescent="0.15">
      <c r="A33" s="3"/>
      <c r="B33" s="3"/>
    </row>
    <row r="34" spans="1:2" ht="15.75" customHeight="1" x14ac:dyDescent="0.15">
      <c r="A34" s="3"/>
      <c r="B34" s="3"/>
    </row>
    <row r="35" spans="1:2" ht="15.75" customHeight="1" x14ac:dyDescent="0.15">
      <c r="A35" s="3"/>
      <c r="B35" s="3"/>
    </row>
    <row r="36" spans="1:2" ht="15.75" customHeight="1" x14ac:dyDescent="0.15">
      <c r="A36" s="3"/>
      <c r="B36" s="3"/>
    </row>
    <row r="37" spans="1:2" ht="15.75" customHeight="1" x14ac:dyDescent="0.15">
      <c r="A37" s="3"/>
      <c r="B37" s="3"/>
    </row>
    <row r="38" spans="1:2" ht="15.75" customHeight="1" x14ac:dyDescent="0.15">
      <c r="A38" s="3"/>
      <c r="B38" s="3"/>
    </row>
    <row r="39" spans="1:2" ht="15.75" customHeight="1" x14ac:dyDescent="0.15">
      <c r="A39" s="3"/>
      <c r="B39" s="3"/>
    </row>
    <row r="40" spans="1:2" ht="15.75" customHeight="1" x14ac:dyDescent="0.15">
      <c r="A40" s="3"/>
      <c r="B40" s="3"/>
    </row>
    <row r="41" spans="1:2" ht="15.75" customHeight="1" x14ac:dyDescent="0.15">
      <c r="A41" s="3"/>
      <c r="B41" s="3"/>
    </row>
    <row r="42" spans="1:2" ht="15.75" customHeight="1" x14ac:dyDescent="0.15">
      <c r="A42" s="3"/>
      <c r="B42" s="3"/>
    </row>
    <row r="43" spans="1:2" ht="15.75" customHeight="1" x14ac:dyDescent="0.15">
      <c r="A43" s="3"/>
      <c r="B43" s="3"/>
    </row>
    <row r="44" spans="1:2" ht="15.75" customHeight="1" x14ac:dyDescent="0.15">
      <c r="A44" s="3"/>
      <c r="B44" s="3"/>
    </row>
    <row r="45" spans="1:2" ht="15.75" customHeight="1" x14ac:dyDescent="0.15">
      <c r="A45" s="3"/>
      <c r="B45" s="3"/>
    </row>
    <row r="46" spans="1:2" ht="15.75" customHeight="1" x14ac:dyDescent="0.15">
      <c r="A46" s="3"/>
      <c r="B46" s="3"/>
    </row>
    <row r="47" spans="1:2" ht="15.75" customHeight="1" x14ac:dyDescent="0.15">
      <c r="A47" s="3"/>
      <c r="B47" s="3"/>
    </row>
    <row r="48" spans="1:2" ht="15.75" customHeight="1" x14ac:dyDescent="0.15">
      <c r="A48" s="3"/>
      <c r="B48" s="3"/>
    </row>
    <row r="49" spans="1:2" ht="15.75" customHeight="1" x14ac:dyDescent="0.15">
      <c r="A49" s="3"/>
      <c r="B49" s="3"/>
    </row>
    <row r="50" spans="1:2" ht="15.75" customHeight="1" x14ac:dyDescent="0.15">
      <c r="A50" s="3"/>
      <c r="B50" s="3"/>
    </row>
    <row r="51" spans="1:2" ht="15.75" customHeight="1" x14ac:dyDescent="0.15">
      <c r="A51" s="3"/>
      <c r="B51" s="3"/>
    </row>
    <row r="52" spans="1:2" ht="15.75" customHeight="1" x14ac:dyDescent="0.15">
      <c r="A52" s="3"/>
      <c r="B52" s="3"/>
    </row>
    <row r="53" spans="1:2" ht="15.75" customHeight="1" x14ac:dyDescent="0.15">
      <c r="A53" s="3"/>
      <c r="B53" s="3"/>
    </row>
    <row r="54" spans="1:2" ht="15.75" customHeight="1" x14ac:dyDescent="0.15">
      <c r="A54" s="3"/>
      <c r="B54" s="3"/>
    </row>
    <row r="55" spans="1:2" ht="15.75" customHeight="1" x14ac:dyDescent="0.15">
      <c r="A55" s="3"/>
      <c r="B55" s="3"/>
    </row>
    <row r="56" spans="1:2" ht="15.75" customHeight="1" x14ac:dyDescent="0.15">
      <c r="A56" s="3"/>
      <c r="B56" s="3"/>
    </row>
    <row r="57" spans="1:2" ht="15.75" customHeight="1" x14ac:dyDescent="0.15">
      <c r="A57" s="3"/>
      <c r="B57" s="3"/>
    </row>
    <row r="58" spans="1:2" ht="15.75" customHeight="1" x14ac:dyDescent="0.15">
      <c r="A58" s="3"/>
      <c r="B58" s="3"/>
    </row>
    <row r="59" spans="1:2" ht="15.75" customHeight="1" x14ac:dyDescent="0.15">
      <c r="A59" s="3"/>
      <c r="B59" s="3"/>
    </row>
    <row r="60" spans="1:2" ht="13" x14ac:dyDescent="0.15">
      <c r="A60" s="3"/>
      <c r="B60" s="3"/>
    </row>
    <row r="61" spans="1:2" ht="13" x14ac:dyDescent="0.15">
      <c r="A61" s="3"/>
      <c r="B61" s="3"/>
    </row>
    <row r="62" spans="1:2" ht="13" x14ac:dyDescent="0.15">
      <c r="A62" s="3"/>
      <c r="B62" s="3"/>
    </row>
    <row r="63" spans="1:2" ht="13" x14ac:dyDescent="0.15">
      <c r="A63" s="3"/>
      <c r="B63" s="3"/>
    </row>
    <row r="64" spans="1:2" ht="13" x14ac:dyDescent="0.15">
      <c r="A64" s="3"/>
      <c r="B64" s="3"/>
    </row>
    <row r="65" spans="1:2" ht="13" x14ac:dyDescent="0.15">
      <c r="A65" s="3"/>
      <c r="B65" s="3"/>
    </row>
    <row r="66" spans="1:2" ht="13" x14ac:dyDescent="0.15">
      <c r="A66" s="3"/>
      <c r="B66" s="3"/>
    </row>
    <row r="67" spans="1:2" ht="13" x14ac:dyDescent="0.15">
      <c r="A67" s="3"/>
      <c r="B67" s="3"/>
    </row>
    <row r="68" spans="1:2" ht="13" x14ac:dyDescent="0.15">
      <c r="A68" s="3"/>
      <c r="B68" s="3"/>
    </row>
    <row r="69" spans="1:2" ht="13" x14ac:dyDescent="0.15">
      <c r="A69" s="3"/>
      <c r="B69" s="3"/>
    </row>
    <row r="70" spans="1:2" ht="13" x14ac:dyDescent="0.15">
      <c r="A70" s="3"/>
      <c r="B70" s="3"/>
    </row>
    <row r="71" spans="1:2" ht="13" x14ac:dyDescent="0.15">
      <c r="A71" s="3"/>
      <c r="B71" s="3"/>
    </row>
    <row r="72" spans="1:2" ht="13" x14ac:dyDescent="0.15">
      <c r="A72" s="3"/>
      <c r="B72" s="3"/>
    </row>
    <row r="73" spans="1:2" ht="13" x14ac:dyDescent="0.15">
      <c r="A73" s="3"/>
      <c r="B73" s="3"/>
    </row>
    <row r="74" spans="1:2" ht="13" x14ac:dyDescent="0.15">
      <c r="A74" s="3"/>
      <c r="B74" s="3"/>
    </row>
    <row r="75" spans="1:2" ht="13" x14ac:dyDescent="0.15">
      <c r="A75" s="3"/>
      <c r="B75" s="3"/>
    </row>
    <row r="76" spans="1:2" ht="13" x14ac:dyDescent="0.15">
      <c r="A76" s="3"/>
      <c r="B76" s="3"/>
    </row>
    <row r="77" spans="1:2" ht="13" x14ac:dyDescent="0.15">
      <c r="A77" s="3"/>
      <c r="B77" s="3"/>
    </row>
    <row r="78" spans="1:2" ht="13" x14ac:dyDescent="0.15">
      <c r="A78" s="3"/>
      <c r="B78" s="3"/>
    </row>
    <row r="79" spans="1:2" ht="13" x14ac:dyDescent="0.15">
      <c r="A79" s="3"/>
      <c r="B79" s="3"/>
    </row>
    <row r="80" spans="1:2" ht="13" x14ac:dyDescent="0.15">
      <c r="A80" s="3"/>
      <c r="B80" s="3"/>
    </row>
    <row r="81" spans="1:2" ht="13" x14ac:dyDescent="0.15">
      <c r="A81" s="3"/>
      <c r="B81" s="3"/>
    </row>
    <row r="82" spans="1:2" ht="13" x14ac:dyDescent="0.15">
      <c r="A82" s="3"/>
      <c r="B82" s="3"/>
    </row>
    <row r="83" spans="1:2" ht="13" x14ac:dyDescent="0.15">
      <c r="A83" s="3"/>
      <c r="B83" s="3"/>
    </row>
    <row r="84" spans="1:2" ht="13" x14ac:dyDescent="0.15">
      <c r="A84" s="3"/>
      <c r="B84" s="3"/>
    </row>
    <row r="85" spans="1:2" ht="13" x14ac:dyDescent="0.15">
      <c r="A85" s="3"/>
      <c r="B85" s="3"/>
    </row>
    <row r="86" spans="1:2" ht="13" x14ac:dyDescent="0.15">
      <c r="A86" s="3"/>
      <c r="B86" s="3"/>
    </row>
    <row r="87" spans="1:2" ht="13" x14ac:dyDescent="0.15">
      <c r="A87" s="3"/>
      <c r="B87" s="3"/>
    </row>
    <row r="88" spans="1:2" ht="13" x14ac:dyDescent="0.15">
      <c r="A88" s="3"/>
      <c r="B88" s="3"/>
    </row>
    <row r="89" spans="1:2" ht="13" x14ac:dyDescent="0.15">
      <c r="A89" s="3"/>
      <c r="B89" s="3"/>
    </row>
    <row r="90" spans="1:2" ht="13" x14ac:dyDescent="0.15">
      <c r="A90" s="3"/>
      <c r="B90" s="3"/>
    </row>
    <row r="91" spans="1:2" ht="13" x14ac:dyDescent="0.15">
      <c r="A91" s="3"/>
      <c r="B91" s="3"/>
    </row>
    <row r="92" spans="1:2" ht="13" x14ac:dyDescent="0.15">
      <c r="A92" s="3"/>
      <c r="B92" s="3"/>
    </row>
    <row r="93" spans="1:2" ht="13" x14ac:dyDescent="0.15">
      <c r="A93" s="3"/>
      <c r="B93" s="3"/>
    </row>
    <row r="94" spans="1:2" ht="13" x14ac:dyDescent="0.15">
      <c r="A94" s="3"/>
      <c r="B94" s="3"/>
    </row>
    <row r="95" spans="1:2" ht="13" x14ac:dyDescent="0.15">
      <c r="A95" s="3"/>
      <c r="B95" s="3"/>
    </row>
    <row r="96" spans="1:2" ht="13" x14ac:dyDescent="0.15">
      <c r="A96" s="3"/>
      <c r="B96" s="3"/>
    </row>
    <row r="97" spans="1:2" ht="13" x14ac:dyDescent="0.15">
      <c r="A97" s="3"/>
      <c r="B97" s="3"/>
    </row>
    <row r="98" spans="1:2" ht="13" x14ac:dyDescent="0.15">
      <c r="A98" s="3"/>
      <c r="B98" s="3"/>
    </row>
    <row r="99" spans="1:2" ht="13" x14ac:dyDescent="0.15">
      <c r="A99" s="3"/>
      <c r="B99" s="3"/>
    </row>
    <row r="100" spans="1:2" ht="13" x14ac:dyDescent="0.15">
      <c r="A100" s="3"/>
      <c r="B100" s="3"/>
    </row>
    <row r="101" spans="1:2" ht="13" x14ac:dyDescent="0.15">
      <c r="A101" s="3"/>
      <c r="B101" s="3"/>
    </row>
    <row r="102" spans="1:2" ht="13" x14ac:dyDescent="0.15">
      <c r="A102" s="3"/>
      <c r="B102" s="3"/>
    </row>
    <row r="103" spans="1:2" ht="13" x14ac:dyDescent="0.15">
      <c r="A103" s="3"/>
      <c r="B103" s="3"/>
    </row>
    <row r="104" spans="1:2" ht="13" x14ac:dyDescent="0.15">
      <c r="A104" s="3"/>
      <c r="B104" s="3"/>
    </row>
    <row r="105" spans="1:2" ht="13" x14ac:dyDescent="0.15">
      <c r="A105" s="3"/>
      <c r="B105" s="3"/>
    </row>
    <row r="106" spans="1:2" ht="13" x14ac:dyDescent="0.15">
      <c r="A106" s="3"/>
      <c r="B106" s="3"/>
    </row>
    <row r="107" spans="1:2" ht="13" x14ac:dyDescent="0.15">
      <c r="A107" s="3"/>
      <c r="B107" s="3"/>
    </row>
    <row r="108" spans="1:2" ht="13" x14ac:dyDescent="0.15">
      <c r="A108" s="3"/>
      <c r="B108" s="3"/>
    </row>
    <row r="109" spans="1:2" ht="13" x14ac:dyDescent="0.15">
      <c r="A109" s="3"/>
      <c r="B109" s="3"/>
    </row>
    <row r="110" spans="1:2" ht="13" x14ac:dyDescent="0.15">
      <c r="A110" s="3"/>
      <c r="B110" s="3"/>
    </row>
    <row r="111" spans="1:2" ht="13" x14ac:dyDescent="0.15">
      <c r="A111" s="3"/>
      <c r="B111" s="3"/>
    </row>
    <row r="112" spans="1:2" ht="13" x14ac:dyDescent="0.15">
      <c r="A112" s="3"/>
      <c r="B112" s="3"/>
    </row>
    <row r="113" spans="1:2" ht="13" x14ac:dyDescent="0.15">
      <c r="A113" s="3"/>
      <c r="B113" s="3"/>
    </row>
    <row r="114" spans="1:2" ht="13" x14ac:dyDescent="0.15">
      <c r="A114" s="3"/>
      <c r="B114" s="3"/>
    </row>
    <row r="115" spans="1:2" ht="13" x14ac:dyDescent="0.15">
      <c r="A115" s="3"/>
      <c r="B115" s="3"/>
    </row>
    <row r="116" spans="1:2" ht="13" x14ac:dyDescent="0.15">
      <c r="A116" s="3"/>
      <c r="B116" s="3"/>
    </row>
    <row r="117" spans="1:2" ht="13" x14ac:dyDescent="0.15">
      <c r="A117" s="3"/>
      <c r="B117" s="3"/>
    </row>
    <row r="118" spans="1:2" ht="13" x14ac:dyDescent="0.15">
      <c r="A118" s="3"/>
      <c r="B118" s="3"/>
    </row>
    <row r="119" spans="1:2" ht="13" x14ac:dyDescent="0.15">
      <c r="A119" s="3"/>
      <c r="B119" s="3"/>
    </row>
    <row r="120" spans="1:2" ht="13" x14ac:dyDescent="0.15">
      <c r="A120" s="3"/>
      <c r="B120" s="3"/>
    </row>
    <row r="121" spans="1:2" ht="13" x14ac:dyDescent="0.15">
      <c r="A121" s="3"/>
      <c r="B121" s="3"/>
    </row>
    <row r="122" spans="1:2" ht="13" x14ac:dyDescent="0.15">
      <c r="A122" s="3"/>
      <c r="B122" s="3"/>
    </row>
    <row r="123" spans="1:2" ht="13" x14ac:dyDescent="0.15">
      <c r="A123" s="3"/>
      <c r="B123" s="3"/>
    </row>
    <row r="124" spans="1:2" ht="13" x14ac:dyDescent="0.15">
      <c r="A124" s="3"/>
      <c r="B124" s="3"/>
    </row>
    <row r="125" spans="1:2" ht="13" x14ac:dyDescent="0.15">
      <c r="A125" s="3"/>
      <c r="B125" s="3"/>
    </row>
    <row r="126" spans="1:2" ht="13" x14ac:dyDescent="0.15">
      <c r="A126" s="3"/>
      <c r="B126" s="3"/>
    </row>
    <row r="127" spans="1:2" ht="13" x14ac:dyDescent="0.15">
      <c r="A127" s="3"/>
      <c r="B127" s="3"/>
    </row>
    <row r="128" spans="1:2" ht="13" x14ac:dyDescent="0.15">
      <c r="A128" s="3"/>
      <c r="B128" s="3"/>
    </row>
    <row r="129" spans="1:2" ht="13" x14ac:dyDescent="0.15">
      <c r="A129" s="3"/>
      <c r="B129" s="3"/>
    </row>
    <row r="130" spans="1:2" ht="13" x14ac:dyDescent="0.15">
      <c r="A130" s="3"/>
      <c r="B130" s="3"/>
    </row>
    <row r="131" spans="1:2" ht="13" x14ac:dyDescent="0.15">
      <c r="A131" s="3"/>
      <c r="B131" s="3"/>
    </row>
    <row r="132" spans="1:2" ht="13" x14ac:dyDescent="0.15">
      <c r="A132" s="3"/>
      <c r="B132" s="3"/>
    </row>
    <row r="133" spans="1:2" ht="13" x14ac:dyDescent="0.15">
      <c r="A133" s="3"/>
      <c r="B133" s="3"/>
    </row>
    <row r="134" spans="1:2" ht="13" x14ac:dyDescent="0.15">
      <c r="A134" s="3"/>
      <c r="B134" s="3"/>
    </row>
    <row r="135" spans="1:2" ht="13" x14ac:dyDescent="0.15">
      <c r="A135" s="3"/>
      <c r="B135" s="3"/>
    </row>
    <row r="136" spans="1:2" ht="13" x14ac:dyDescent="0.15">
      <c r="A136" s="3"/>
      <c r="B136" s="3"/>
    </row>
    <row r="137" spans="1:2" ht="13" x14ac:dyDescent="0.15">
      <c r="A137" s="3"/>
      <c r="B137" s="3"/>
    </row>
    <row r="138" spans="1:2" ht="13" x14ac:dyDescent="0.15">
      <c r="A138" s="3"/>
      <c r="B138" s="3"/>
    </row>
    <row r="139" spans="1:2" ht="13" x14ac:dyDescent="0.15">
      <c r="A139" s="3"/>
      <c r="B139" s="3"/>
    </row>
    <row r="140" spans="1:2" ht="13" x14ac:dyDescent="0.15">
      <c r="A140" s="3"/>
      <c r="B140" s="3"/>
    </row>
    <row r="141" spans="1:2" ht="13" x14ac:dyDescent="0.15">
      <c r="A141" s="3"/>
      <c r="B141" s="3"/>
    </row>
    <row r="142" spans="1:2" ht="13" x14ac:dyDescent="0.15">
      <c r="A142" s="3"/>
      <c r="B142" s="3"/>
    </row>
    <row r="143" spans="1:2" ht="13" x14ac:dyDescent="0.15">
      <c r="A143" s="3"/>
      <c r="B143" s="3"/>
    </row>
    <row r="144" spans="1:2" ht="13" x14ac:dyDescent="0.15">
      <c r="A144" s="3"/>
      <c r="B144" s="3"/>
    </row>
    <row r="145" spans="1:2" ht="13" x14ac:dyDescent="0.15">
      <c r="A145" s="3"/>
      <c r="B145" s="3"/>
    </row>
    <row r="146" spans="1:2" ht="13" x14ac:dyDescent="0.15">
      <c r="A146" s="3"/>
      <c r="B146" s="3"/>
    </row>
    <row r="147" spans="1:2" ht="13" x14ac:dyDescent="0.15">
      <c r="A147" s="3"/>
      <c r="B147" s="3"/>
    </row>
    <row r="148" spans="1:2" ht="13" x14ac:dyDescent="0.15">
      <c r="A148" s="3"/>
      <c r="B148" s="3"/>
    </row>
    <row r="149" spans="1:2" ht="13" x14ac:dyDescent="0.15">
      <c r="A149" s="3"/>
      <c r="B149" s="3"/>
    </row>
    <row r="150" spans="1:2" ht="13" x14ac:dyDescent="0.15">
      <c r="A150" s="3"/>
      <c r="B150" s="3"/>
    </row>
    <row r="151" spans="1:2" ht="13" x14ac:dyDescent="0.15">
      <c r="A151" s="3"/>
      <c r="B151" s="3"/>
    </row>
    <row r="152" spans="1:2" ht="13" x14ac:dyDescent="0.15">
      <c r="A152" s="3"/>
      <c r="B152" s="3"/>
    </row>
    <row r="153" spans="1:2" ht="13" x14ac:dyDescent="0.15">
      <c r="A153" s="3"/>
      <c r="B153" s="3"/>
    </row>
    <row r="154" spans="1:2" ht="13" x14ac:dyDescent="0.15">
      <c r="A154" s="3"/>
      <c r="B154" s="3"/>
    </row>
    <row r="155" spans="1:2" ht="13" x14ac:dyDescent="0.15">
      <c r="A155" s="3"/>
      <c r="B155" s="3"/>
    </row>
    <row r="156" spans="1:2" ht="13" x14ac:dyDescent="0.15">
      <c r="A156" s="3"/>
      <c r="B156" s="3"/>
    </row>
    <row r="157" spans="1:2" ht="13" x14ac:dyDescent="0.15">
      <c r="A157" s="3"/>
      <c r="B157" s="3"/>
    </row>
    <row r="158" spans="1:2" ht="13" x14ac:dyDescent="0.15">
      <c r="A158" s="3"/>
      <c r="B158" s="3"/>
    </row>
    <row r="159" spans="1:2" ht="13" x14ac:dyDescent="0.15">
      <c r="A159" s="3"/>
      <c r="B159" s="3"/>
    </row>
    <row r="160" spans="1:2" ht="13" x14ac:dyDescent="0.15">
      <c r="A160" s="3"/>
      <c r="B160" s="3"/>
    </row>
    <row r="161" spans="1:2" ht="13" x14ac:dyDescent="0.15">
      <c r="A161" s="3"/>
      <c r="B161" s="3"/>
    </row>
    <row r="162" spans="1:2" ht="13" x14ac:dyDescent="0.15">
      <c r="A162" s="3"/>
      <c r="B162" s="3"/>
    </row>
    <row r="163" spans="1:2" ht="13" x14ac:dyDescent="0.15">
      <c r="A163" s="3"/>
      <c r="B163" s="3"/>
    </row>
    <row r="164" spans="1:2" ht="13" x14ac:dyDescent="0.15">
      <c r="A164" s="3"/>
      <c r="B164" s="3"/>
    </row>
    <row r="165" spans="1:2" ht="13" x14ac:dyDescent="0.15">
      <c r="A165" s="3"/>
      <c r="B165" s="3"/>
    </row>
    <row r="166" spans="1:2" ht="13" x14ac:dyDescent="0.15">
      <c r="A166" s="3"/>
      <c r="B166" s="3"/>
    </row>
    <row r="167" spans="1:2" ht="13" x14ac:dyDescent="0.15">
      <c r="A167" s="3"/>
      <c r="B167" s="3"/>
    </row>
    <row r="168" spans="1:2" ht="13" x14ac:dyDescent="0.15">
      <c r="A168" s="3"/>
      <c r="B168" s="3"/>
    </row>
    <row r="169" spans="1:2" ht="13" x14ac:dyDescent="0.15">
      <c r="A169" s="3"/>
      <c r="B169" s="3"/>
    </row>
    <row r="170" spans="1:2" ht="13" x14ac:dyDescent="0.15">
      <c r="A170" s="3"/>
      <c r="B170" s="3"/>
    </row>
    <row r="171" spans="1:2" ht="13" x14ac:dyDescent="0.15">
      <c r="A171" s="3"/>
      <c r="B171" s="3"/>
    </row>
    <row r="172" spans="1:2" ht="13" x14ac:dyDescent="0.15">
      <c r="A172" s="3"/>
      <c r="B172" s="3"/>
    </row>
    <row r="173" spans="1:2" ht="13" x14ac:dyDescent="0.15">
      <c r="A173" s="3"/>
      <c r="B173" s="3"/>
    </row>
    <row r="174" spans="1:2" ht="13" x14ac:dyDescent="0.15">
      <c r="A174" s="3"/>
      <c r="B174" s="3"/>
    </row>
    <row r="175" spans="1:2" ht="13" x14ac:dyDescent="0.15">
      <c r="A175" s="3"/>
      <c r="B175" s="3"/>
    </row>
    <row r="176" spans="1:2" ht="13" x14ac:dyDescent="0.15">
      <c r="A176" s="3"/>
      <c r="B176" s="3"/>
    </row>
    <row r="177" spans="1:2" ht="13" x14ac:dyDescent="0.15">
      <c r="A177" s="3"/>
      <c r="B177" s="3"/>
    </row>
    <row r="178" spans="1:2" ht="13" x14ac:dyDescent="0.15">
      <c r="A178" s="3"/>
      <c r="B178" s="3"/>
    </row>
    <row r="179" spans="1:2" ht="13" x14ac:dyDescent="0.15">
      <c r="A179" s="3"/>
      <c r="B179" s="3"/>
    </row>
    <row r="180" spans="1:2" ht="13" x14ac:dyDescent="0.15">
      <c r="A180" s="3"/>
      <c r="B180" s="3"/>
    </row>
    <row r="181" spans="1:2" ht="13" x14ac:dyDescent="0.15">
      <c r="A181" s="3"/>
      <c r="B181" s="3"/>
    </row>
    <row r="182" spans="1:2" ht="13" x14ac:dyDescent="0.15">
      <c r="A182" s="3"/>
      <c r="B182" s="3"/>
    </row>
    <row r="183" spans="1:2" ht="13" x14ac:dyDescent="0.15">
      <c r="A183" s="3"/>
      <c r="B183" s="3"/>
    </row>
    <row r="184" spans="1:2" ht="13" x14ac:dyDescent="0.15">
      <c r="A184" s="3"/>
      <c r="B184" s="3"/>
    </row>
    <row r="185" spans="1:2" ht="13" x14ac:dyDescent="0.15">
      <c r="A185" s="3"/>
      <c r="B185" s="3"/>
    </row>
    <row r="186" spans="1:2" ht="13" x14ac:dyDescent="0.15">
      <c r="A186" s="3"/>
      <c r="B186" s="3"/>
    </row>
    <row r="187" spans="1:2" ht="13" x14ac:dyDescent="0.15">
      <c r="A187" s="3"/>
      <c r="B187" s="3"/>
    </row>
    <row r="188" spans="1:2" ht="13" x14ac:dyDescent="0.15">
      <c r="A188" s="3"/>
      <c r="B188" s="3"/>
    </row>
    <row r="189" spans="1:2" ht="13" x14ac:dyDescent="0.15">
      <c r="A189" s="3"/>
      <c r="B189" s="3"/>
    </row>
    <row r="190" spans="1:2" ht="13" x14ac:dyDescent="0.15">
      <c r="A190" s="3"/>
      <c r="B190" s="3"/>
    </row>
    <row r="191" spans="1:2" ht="13" x14ac:dyDescent="0.15">
      <c r="A191" s="3"/>
      <c r="B191" s="3"/>
    </row>
    <row r="192" spans="1:2" ht="13" x14ac:dyDescent="0.15">
      <c r="A192" s="3"/>
      <c r="B192" s="3"/>
    </row>
    <row r="193" spans="1:2" ht="13" x14ac:dyDescent="0.15">
      <c r="A193" s="3"/>
      <c r="B193" s="3"/>
    </row>
    <row r="194" spans="1:2" ht="13" x14ac:dyDescent="0.15">
      <c r="A194" s="3"/>
      <c r="B194" s="3"/>
    </row>
    <row r="195" spans="1:2" ht="13" x14ac:dyDescent="0.15">
      <c r="A195" s="3"/>
      <c r="B195" s="3"/>
    </row>
    <row r="196" spans="1:2" ht="13" x14ac:dyDescent="0.15">
      <c r="A196" s="3"/>
      <c r="B196" s="3"/>
    </row>
    <row r="197" spans="1:2" ht="13" x14ac:dyDescent="0.15">
      <c r="A197" s="3"/>
      <c r="B197" s="3"/>
    </row>
    <row r="198" spans="1:2" ht="13" x14ac:dyDescent="0.15">
      <c r="A198" s="3"/>
      <c r="B198" s="3"/>
    </row>
    <row r="199" spans="1:2" ht="13" x14ac:dyDescent="0.15">
      <c r="A199" s="3"/>
      <c r="B199" s="3"/>
    </row>
    <row r="200" spans="1:2" ht="13" x14ac:dyDescent="0.15">
      <c r="A200" s="3"/>
      <c r="B200" s="3"/>
    </row>
    <row r="201" spans="1:2" ht="13" x14ac:dyDescent="0.15">
      <c r="A201" s="3"/>
      <c r="B201" s="3"/>
    </row>
    <row r="202" spans="1:2" ht="13" x14ac:dyDescent="0.15">
      <c r="A202" s="3"/>
      <c r="B202" s="3"/>
    </row>
    <row r="203" spans="1:2" ht="13" x14ac:dyDescent="0.15">
      <c r="A203" s="3"/>
      <c r="B203" s="3"/>
    </row>
    <row r="204" spans="1:2" ht="13" x14ac:dyDescent="0.15">
      <c r="A204" s="3"/>
      <c r="B204" s="3"/>
    </row>
    <row r="205" spans="1:2" ht="13" x14ac:dyDescent="0.15">
      <c r="A205" s="3"/>
      <c r="B205" s="3"/>
    </row>
    <row r="206" spans="1:2" ht="13" x14ac:dyDescent="0.15">
      <c r="A206" s="3"/>
      <c r="B206" s="3"/>
    </row>
    <row r="207" spans="1:2" ht="13" x14ac:dyDescent="0.15">
      <c r="A207" s="3"/>
      <c r="B207" s="3"/>
    </row>
    <row r="208" spans="1:2" ht="13" x14ac:dyDescent="0.15">
      <c r="A208" s="3"/>
      <c r="B208" s="3"/>
    </row>
    <row r="209" spans="1:2" ht="13" x14ac:dyDescent="0.15">
      <c r="A209" s="3"/>
      <c r="B209" s="3"/>
    </row>
    <row r="210" spans="1:2" ht="13" x14ac:dyDescent="0.15">
      <c r="A210" s="3"/>
      <c r="B210" s="3"/>
    </row>
    <row r="211" spans="1:2" ht="13" x14ac:dyDescent="0.15">
      <c r="A211" s="3"/>
      <c r="B211" s="3"/>
    </row>
    <row r="212" spans="1:2" ht="13" x14ac:dyDescent="0.15">
      <c r="A212" s="3"/>
      <c r="B212" s="3"/>
    </row>
    <row r="213" spans="1:2" ht="13" x14ac:dyDescent="0.15">
      <c r="A213" s="3"/>
      <c r="B213" s="3"/>
    </row>
    <row r="214" spans="1:2" ht="13" x14ac:dyDescent="0.15">
      <c r="A214" s="3"/>
      <c r="B214" s="3"/>
    </row>
    <row r="215" spans="1:2" ht="13" x14ac:dyDescent="0.15">
      <c r="A215" s="3"/>
      <c r="B215" s="3"/>
    </row>
    <row r="216" spans="1:2" ht="13" x14ac:dyDescent="0.15">
      <c r="A216" s="3"/>
      <c r="B216" s="3"/>
    </row>
    <row r="217" spans="1:2" ht="13" x14ac:dyDescent="0.15">
      <c r="A217" s="3"/>
      <c r="B217" s="3"/>
    </row>
    <row r="218" spans="1:2" ht="13" x14ac:dyDescent="0.15">
      <c r="A218" s="3"/>
      <c r="B218" s="3"/>
    </row>
    <row r="219" spans="1:2" ht="13" x14ac:dyDescent="0.15">
      <c r="A219" s="3"/>
      <c r="B219" s="3"/>
    </row>
    <row r="220" spans="1:2" ht="13" x14ac:dyDescent="0.15">
      <c r="A220" s="3"/>
      <c r="B220" s="3"/>
    </row>
    <row r="221" spans="1:2" ht="13" x14ac:dyDescent="0.15">
      <c r="A221" s="3"/>
      <c r="B221" s="3"/>
    </row>
    <row r="222" spans="1:2" ht="13" x14ac:dyDescent="0.15">
      <c r="A222" s="3"/>
      <c r="B222" s="3"/>
    </row>
    <row r="223" spans="1:2" ht="13" x14ac:dyDescent="0.15">
      <c r="A223" s="3"/>
      <c r="B223" s="3"/>
    </row>
    <row r="224" spans="1:2" ht="13" x14ac:dyDescent="0.15">
      <c r="A224" s="3"/>
      <c r="B224" s="3"/>
    </row>
    <row r="225" spans="1:2" ht="13" x14ac:dyDescent="0.15">
      <c r="A225" s="3"/>
      <c r="B225" s="3"/>
    </row>
    <row r="226" spans="1:2" ht="13" x14ac:dyDescent="0.15">
      <c r="A226" s="3"/>
      <c r="B226" s="3"/>
    </row>
    <row r="227" spans="1:2" ht="13" x14ac:dyDescent="0.15">
      <c r="A227" s="3"/>
      <c r="B227" s="3"/>
    </row>
    <row r="228" spans="1:2" ht="13" x14ac:dyDescent="0.15">
      <c r="A228" s="3"/>
      <c r="B228" s="3"/>
    </row>
    <row r="229" spans="1:2" ht="13" x14ac:dyDescent="0.15">
      <c r="A229" s="3"/>
      <c r="B229" s="3"/>
    </row>
    <row r="230" spans="1:2" ht="13" x14ac:dyDescent="0.15">
      <c r="A230" s="3"/>
      <c r="B230" s="3"/>
    </row>
    <row r="231" spans="1:2" ht="13" x14ac:dyDescent="0.15">
      <c r="A231" s="3"/>
      <c r="B231" s="3"/>
    </row>
    <row r="232" spans="1:2" ht="13" x14ac:dyDescent="0.15">
      <c r="A232" s="3"/>
      <c r="B232" s="3"/>
    </row>
    <row r="233" spans="1:2" ht="13" x14ac:dyDescent="0.15">
      <c r="A233" s="3"/>
      <c r="B233" s="3"/>
    </row>
    <row r="234" spans="1:2" ht="13" x14ac:dyDescent="0.15">
      <c r="A234" s="3"/>
      <c r="B234" s="3"/>
    </row>
    <row r="235" spans="1:2" ht="13" x14ac:dyDescent="0.15">
      <c r="A235" s="3"/>
      <c r="B235" s="3"/>
    </row>
    <row r="236" spans="1:2" ht="13" x14ac:dyDescent="0.15">
      <c r="A236" s="3"/>
      <c r="B236" s="3"/>
    </row>
    <row r="237" spans="1:2" ht="13" x14ac:dyDescent="0.15">
      <c r="A237" s="3"/>
      <c r="B237" s="3"/>
    </row>
    <row r="238" spans="1:2" ht="13" x14ac:dyDescent="0.15">
      <c r="A238" s="3"/>
      <c r="B238" s="3"/>
    </row>
    <row r="239" spans="1:2" ht="13" x14ac:dyDescent="0.15">
      <c r="A239" s="3"/>
      <c r="B239" s="3"/>
    </row>
    <row r="240" spans="1:2" ht="13" x14ac:dyDescent="0.15">
      <c r="A240" s="3"/>
      <c r="B240" s="3"/>
    </row>
    <row r="241" spans="1:2" ht="13" x14ac:dyDescent="0.15">
      <c r="A241" s="3"/>
      <c r="B241" s="3"/>
    </row>
    <row r="242" spans="1:2" ht="13" x14ac:dyDescent="0.15">
      <c r="A242" s="3"/>
      <c r="B242" s="3"/>
    </row>
    <row r="243" spans="1:2" ht="13" x14ac:dyDescent="0.15">
      <c r="A243" s="3"/>
      <c r="B243" s="3"/>
    </row>
    <row r="244" spans="1:2" ht="13" x14ac:dyDescent="0.15">
      <c r="A244" s="3"/>
      <c r="B244" s="3"/>
    </row>
    <row r="245" spans="1:2" ht="13" x14ac:dyDescent="0.15">
      <c r="A245" s="3"/>
      <c r="B245" s="3"/>
    </row>
    <row r="246" spans="1:2" ht="13" x14ac:dyDescent="0.15">
      <c r="A246" s="3"/>
      <c r="B246" s="3"/>
    </row>
    <row r="247" spans="1:2" ht="13" x14ac:dyDescent="0.15">
      <c r="A247" s="3"/>
      <c r="B247" s="3"/>
    </row>
    <row r="248" spans="1:2" ht="13" x14ac:dyDescent="0.15">
      <c r="A248" s="3"/>
      <c r="B248" s="3"/>
    </row>
    <row r="249" spans="1:2" ht="13" x14ac:dyDescent="0.15">
      <c r="A249" s="3"/>
      <c r="B249" s="3"/>
    </row>
    <row r="250" spans="1:2" ht="13" x14ac:dyDescent="0.15">
      <c r="A250" s="3"/>
      <c r="B250" s="3"/>
    </row>
    <row r="251" spans="1:2" ht="13" x14ac:dyDescent="0.15">
      <c r="A251" s="3"/>
      <c r="B251" s="3"/>
    </row>
    <row r="252" spans="1:2" ht="13" x14ac:dyDescent="0.15">
      <c r="A252" s="3"/>
      <c r="B252" s="3"/>
    </row>
    <row r="253" spans="1:2" ht="13" x14ac:dyDescent="0.15">
      <c r="A253" s="3"/>
      <c r="B253" s="3"/>
    </row>
    <row r="254" spans="1:2" ht="13" x14ac:dyDescent="0.15">
      <c r="A254" s="3"/>
      <c r="B254" s="3"/>
    </row>
    <row r="255" spans="1:2" ht="13" x14ac:dyDescent="0.15">
      <c r="A255" s="3"/>
      <c r="B255" s="3"/>
    </row>
    <row r="256" spans="1:2" ht="13" x14ac:dyDescent="0.15">
      <c r="A256" s="3"/>
      <c r="B256" s="3"/>
    </row>
    <row r="257" spans="1:2" ht="13" x14ac:dyDescent="0.15">
      <c r="A257" s="3"/>
      <c r="B257" s="3"/>
    </row>
    <row r="258" spans="1:2" ht="13" x14ac:dyDescent="0.15">
      <c r="A258" s="3"/>
      <c r="B258" s="3"/>
    </row>
    <row r="259" spans="1:2" ht="13" x14ac:dyDescent="0.15">
      <c r="A259" s="3"/>
      <c r="B259" s="3"/>
    </row>
    <row r="260" spans="1:2" ht="13" x14ac:dyDescent="0.15">
      <c r="A260" s="3"/>
      <c r="B260" s="3"/>
    </row>
    <row r="261" spans="1:2" ht="13" x14ac:dyDescent="0.15">
      <c r="A261" s="3"/>
      <c r="B261" s="3"/>
    </row>
    <row r="262" spans="1:2" ht="13" x14ac:dyDescent="0.15">
      <c r="A262" s="3"/>
      <c r="B262" s="3"/>
    </row>
    <row r="263" spans="1:2" ht="13" x14ac:dyDescent="0.15">
      <c r="A263" s="3"/>
      <c r="B263" s="3"/>
    </row>
    <row r="264" spans="1:2" ht="13" x14ac:dyDescent="0.15">
      <c r="A264" s="3"/>
      <c r="B264" s="3"/>
    </row>
    <row r="265" spans="1:2" ht="13" x14ac:dyDescent="0.15">
      <c r="A265" s="3"/>
      <c r="B265" s="3"/>
    </row>
    <row r="266" spans="1:2" ht="13" x14ac:dyDescent="0.15">
      <c r="A266" s="3"/>
      <c r="B266" s="3"/>
    </row>
    <row r="267" spans="1:2" ht="13" x14ac:dyDescent="0.15">
      <c r="A267" s="3"/>
      <c r="B267" s="3"/>
    </row>
    <row r="268" spans="1:2" ht="13" x14ac:dyDescent="0.15">
      <c r="A268" s="3"/>
      <c r="B268" s="3"/>
    </row>
    <row r="269" spans="1:2" ht="13" x14ac:dyDescent="0.15">
      <c r="A269" s="3"/>
      <c r="B269" s="3"/>
    </row>
    <row r="270" spans="1:2" ht="13" x14ac:dyDescent="0.15">
      <c r="A270" s="3"/>
      <c r="B270" s="3"/>
    </row>
    <row r="271" spans="1:2" ht="13" x14ac:dyDescent="0.15">
      <c r="A271" s="3"/>
      <c r="B271" s="3"/>
    </row>
    <row r="272" spans="1:2" ht="13" x14ac:dyDescent="0.15">
      <c r="A272" s="3"/>
      <c r="B272" s="3"/>
    </row>
    <row r="273" spans="1:2" ht="13" x14ac:dyDescent="0.15">
      <c r="A273" s="3"/>
      <c r="B273" s="3"/>
    </row>
    <row r="274" spans="1:2" ht="13" x14ac:dyDescent="0.15">
      <c r="A274" s="3"/>
      <c r="B274" s="3"/>
    </row>
    <row r="275" spans="1:2" ht="13" x14ac:dyDescent="0.15">
      <c r="A275" s="3"/>
      <c r="B275" s="3"/>
    </row>
    <row r="276" spans="1:2" ht="13" x14ac:dyDescent="0.15">
      <c r="A276" s="3"/>
      <c r="B276" s="3"/>
    </row>
    <row r="277" spans="1:2" ht="13" x14ac:dyDescent="0.15">
      <c r="A277" s="3"/>
      <c r="B277" s="3"/>
    </row>
    <row r="278" spans="1:2" ht="13" x14ac:dyDescent="0.15">
      <c r="A278" s="3"/>
      <c r="B278" s="3"/>
    </row>
    <row r="279" spans="1:2" ht="13" x14ac:dyDescent="0.15">
      <c r="A279" s="3"/>
      <c r="B279" s="3"/>
    </row>
    <row r="280" spans="1:2" ht="13" x14ac:dyDescent="0.15">
      <c r="A280" s="3"/>
      <c r="B280" s="3"/>
    </row>
    <row r="281" spans="1:2" ht="13" x14ac:dyDescent="0.15">
      <c r="A281" s="3"/>
      <c r="B281" s="3"/>
    </row>
    <row r="282" spans="1:2" ht="13" x14ac:dyDescent="0.15">
      <c r="A282" s="3"/>
      <c r="B282" s="3"/>
    </row>
    <row r="283" spans="1:2" ht="13" x14ac:dyDescent="0.15">
      <c r="A283" s="3"/>
      <c r="B283" s="3"/>
    </row>
    <row r="284" spans="1:2" ht="13" x14ac:dyDescent="0.15">
      <c r="A284" s="3"/>
      <c r="B284" s="3"/>
    </row>
    <row r="285" spans="1:2" ht="13" x14ac:dyDescent="0.15">
      <c r="A285" s="3"/>
      <c r="B285" s="3"/>
    </row>
    <row r="286" spans="1:2" ht="13" x14ac:dyDescent="0.15">
      <c r="A286" s="3"/>
      <c r="B286" s="3"/>
    </row>
    <row r="287" spans="1:2" ht="13" x14ac:dyDescent="0.15">
      <c r="A287" s="3"/>
      <c r="B287" s="3"/>
    </row>
    <row r="288" spans="1:2" ht="13" x14ac:dyDescent="0.15">
      <c r="A288" s="3"/>
      <c r="B288" s="3"/>
    </row>
    <row r="289" spans="1:2" ht="13" x14ac:dyDescent="0.15">
      <c r="A289" s="3"/>
      <c r="B289" s="3"/>
    </row>
    <row r="290" spans="1:2" ht="13" x14ac:dyDescent="0.15">
      <c r="A290" s="3"/>
      <c r="B290" s="3"/>
    </row>
    <row r="291" spans="1:2" ht="13" x14ac:dyDescent="0.15">
      <c r="A291" s="3"/>
      <c r="B291" s="3"/>
    </row>
    <row r="292" spans="1:2" ht="13" x14ac:dyDescent="0.15">
      <c r="A292" s="3"/>
      <c r="B292" s="3"/>
    </row>
    <row r="293" spans="1:2" ht="13" x14ac:dyDescent="0.15">
      <c r="A293" s="3"/>
      <c r="B293" s="3"/>
    </row>
    <row r="294" spans="1:2" ht="13" x14ac:dyDescent="0.15">
      <c r="A294" s="3"/>
      <c r="B294" s="3"/>
    </row>
    <row r="295" spans="1:2" ht="13" x14ac:dyDescent="0.15">
      <c r="A295" s="3"/>
      <c r="B295" s="3"/>
    </row>
    <row r="296" spans="1:2" ht="13" x14ac:dyDescent="0.15">
      <c r="A296" s="3"/>
      <c r="B296" s="3"/>
    </row>
    <row r="297" spans="1:2" ht="13" x14ac:dyDescent="0.15">
      <c r="A297" s="3"/>
      <c r="B297" s="3"/>
    </row>
    <row r="298" spans="1:2" ht="13" x14ac:dyDescent="0.15">
      <c r="A298" s="3"/>
      <c r="B298" s="3"/>
    </row>
    <row r="299" spans="1:2" ht="13" x14ac:dyDescent="0.15">
      <c r="A299" s="3"/>
      <c r="B299" s="3"/>
    </row>
    <row r="300" spans="1:2" ht="13" x14ac:dyDescent="0.15">
      <c r="A300" s="3"/>
      <c r="B300" s="3"/>
    </row>
    <row r="301" spans="1:2" ht="13" x14ac:dyDescent="0.15">
      <c r="A301" s="3"/>
      <c r="B301" s="3"/>
    </row>
    <row r="302" spans="1:2" ht="13" x14ac:dyDescent="0.15">
      <c r="A302" s="3"/>
      <c r="B302" s="3"/>
    </row>
    <row r="303" spans="1:2" ht="13" x14ac:dyDescent="0.15">
      <c r="A303" s="3"/>
      <c r="B303" s="3"/>
    </row>
    <row r="304" spans="1:2" ht="13" x14ac:dyDescent="0.15">
      <c r="A304" s="3"/>
      <c r="B304" s="3"/>
    </row>
    <row r="305" spans="1:2" ht="13" x14ac:dyDescent="0.15">
      <c r="A305" s="3"/>
      <c r="B305" s="3"/>
    </row>
    <row r="306" spans="1:2" ht="13" x14ac:dyDescent="0.15">
      <c r="A306" s="3"/>
      <c r="B306" s="3"/>
    </row>
    <row r="307" spans="1:2" ht="13" x14ac:dyDescent="0.15">
      <c r="A307" s="3"/>
      <c r="B307" s="3"/>
    </row>
    <row r="308" spans="1:2" ht="13" x14ac:dyDescent="0.15">
      <c r="A308" s="3"/>
      <c r="B308" s="3"/>
    </row>
    <row r="309" spans="1:2" ht="13" x14ac:dyDescent="0.15">
      <c r="A309" s="3"/>
      <c r="B309" s="3"/>
    </row>
    <row r="310" spans="1:2" ht="13" x14ac:dyDescent="0.15">
      <c r="A310" s="3"/>
      <c r="B310" s="3"/>
    </row>
    <row r="311" spans="1:2" ht="13" x14ac:dyDescent="0.15">
      <c r="A311" s="3"/>
      <c r="B311" s="3"/>
    </row>
    <row r="312" spans="1:2" ht="13" x14ac:dyDescent="0.15">
      <c r="A312" s="3"/>
      <c r="B312" s="3"/>
    </row>
    <row r="313" spans="1:2" ht="13" x14ac:dyDescent="0.15">
      <c r="A313" s="3"/>
      <c r="B313" s="3"/>
    </row>
    <row r="314" spans="1:2" ht="13" x14ac:dyDescent="0.15">
      <c r="A314" s="3"/>
      <c r="B314" s="3"/>
    </row>
    <row r="315" spans="1:2" ht="13" x14ac:dyDescent="0.15">
      <c r="A315" s="3"/>
      <c r="B315" s="3"/>
    </row>
    <row r="316" spans="1:2" ht="13" x14ac:dyDescent="0.15">
      <c r="A316" s="3"/>
      <c r="B316" s="3"/>
    </row>
    <row r="317" spans="1:2" ht="13" x14ac:dyDescent="0.15">
      <c r="A317" s="3"/>
      <c r="B317" s="3"/>
    </row>
    <row r="318" spans="1:2" ht="13" x14ac:dyDescent="0.15">
      <c r="A318" s="3"/>
      <c r="B318" s="3"/>
    </row>
    <row r="319" spans="1:2" ht="13" x14ac:dyDescent="0.15">
      <c r="A319" s="3"/>
      <c r="B319" s="3"/>
    </row>
    <row r="320" spans="1:2" ht="13" x14ac:dyDescent="0.15">
      <c r="A320" s="3"/>
      <c r="B320" s="3"/>
    </row>
    <row r="321" spans="1:2" ht="13" x14ac:dyDescent="0.15">
      <c r="A321" s="3"/>
      <c r="B321" s="3"/>
    </row>
    <row r="322" spans="1:2" ht="13" x14ac:dyDescent="0.15">
      <c r="A322" s="3"/>
      <c r="B322" s="3"/>
    </row>
    <row r="323" spans="1:2" ht="13" x14ac:dyDescent="0.15">
      <c r="A323" s="3"/>
      <c r="B323" s="3"/>
    </row>
    <row r="324" spans="1:2" ht="13" x14ac:dyDescent="0.15">
      <c r="A324" s="3"/>
      <c r="B324" s="3"/>
    </row>
    <row r="325" spans="1:2" ht="13" x14ac:dyDescent="0.15">
      <c r="A325" s="3"/>
      <c r="B325" s="3"/>
    </row>
    <row r="326" spans="1:2" ht="13" x14ac:dyDescent="0.15">
      <c r="A326" s="3"/>
      <c r="B326" s="3"/>
    </row>
    <row r="327" spans="1:2" ht="13" x14ac:dyDescent="0.15">
      <c r="A327" s="3"/>
      <c r="B327" s="3"/>
    </row>
    <row r="328" spans="1:2" ht="13" x14ac:dyDescent="0.15">
      <c r="A328" s="3"/>
      <c r="B328" s="3"/>
    </row>
    <row r="329" spans="1:2" ht="13" x14ac:dyDescent="0.15">
      <c r="A329" s="3"/>
      <c r="B329" s="3"/>
    </row>
    <row r="330" spans="1:2" ht="13" x14ac:dyDescent="0.15">
      <c r="A330" s="3"/>
      <c r="B330" s="3"/>
    </row>
    <row r="331" spans="1:2" ht="13" x14ac:dyDescent="0.15">
      <c r="A331" s="3"/>
      <c r="B331" s="3"/>
    </row>
    <row r="332" spans="1:2" ht="13" x14ac:dyDescent="0.15">
      <c r="A332" s="3"/>
      <c r="B332" s="3"/>
    </row>
    <row r="333" spans="1:2" ht="13" x14ac:dyDescent="0.15">
      <c r="A333" s="3"/>
      <c r="B333" s="3"/>
    </row>
    <row r="334" spans="1:2" ht="13" x14ac:dyDescent="0.15">
      <c r="A334" s="3"/>
      <c r="B334" s="3"/>
    </row>
    <row r="335" spans="1:2" ht="13" x14ac:dyDescent="0.15">
      <c r="A335" s="3"/>
      <c r="B335" s="3"/>
    </row>
    <row r="336" spans="1:2" ht="13" x14ac:dyDescent="0.15">
      <c r="A336" s="3"/>
      <c r="B336" s="3"/>
    </row>
    <row r="337" spans="1:2" ht="13" x14ac:dyDescent="0.15">
      <c r="A337" s="3"/>
      <c r="B337" s="3"/>
    </row>
    <row r="338" spans="1:2" ht="13" x14ac:dyDescent="0.15">
      <c r="A338" s="3"/>
      <c r="B338" s="3"/>
    </row>
    <row r="339" spans="1:2" ht="13" x14ac:dyDescent="0.15">
      <c r="A339" s="3"/>
      <c r="B339" s="3"/>
    </row>
    <row r="340" spans="1:2" ht="13" x14ac:dyDescent="0.15">
      <c r="A340" s="3"/>
      <c r="B340" s="3"/>
    </row>
    <row r="341" spans="1:2" ht="13" x14ac:dyDescent="0.15">
      <c r="A341" s="3"/>
      <c r="B341" s="3"/>
    </row>
    <row r="342" spans="1:2" ht="13" x14ac:dyDescent="0.15">
      <c r="A342" s="3"/>
      <c r="B342" s="3"/>
    </row>
    <row r="343" spans="1:2" ht="13" x14ac:dyDescent="0.15">
      <c r="A343" s="3"/>
      <c r="B343" s="3"/>
    </row>
    <row r="344" spans="1:2" ht="13" x14ac:dyDescent="0.15">
      <c r="A344" s="3"/>
      <c r="B344" s="3"/>
    </row>
    <row r="345" spans="1:2" ht="13" x14ac:dyDescent="0.15">
      <c r="A345" s="3"/>
      <c r="B345" s="3"/>
    </row>
    <row r="346" spans="1:2" ht="13" x14ac:dyDescent="0.15">
      <c r="A346" s="3"/>
      <c r="B346" s="3"/>
    </row>
    <row r="347" spans="1:2" ht="13" x14ac:dyDescent="0.15">
      <c r="A347" s="3"/>
      <c r="B347" s="3"/>
    </row>
    <row r="348" spans="1:2" ht="13" x14ac:dyDescent="0.15">
      <c r="A348" s="3"/>
      <c r="B348" s="3"/>
    </row>
    <row r="349" spans="1:2" ht="13" x14ac:dyDescent="0.15">
      <c r="A349" s="3"/>
      <c r="B349" s="3"/>
    </row>
    <row r="350" spans="1:2" ht="13" x14ac:dyDescent="0.15">
      <c r="A350" s="3"/>
      <c r="B350" s="3"/>
    </row>
    <row r="351" spans="1:2" ht="13" x14ac:dyDescent="0.15">
      <c r="A351" s="3"/>
      <c r="B351" s="3"/>
    </row>
    <row r="352" spans="1:2" ht="13" x14ac:dyDescent="0.15">
      <c r="A352" s="3"/>
      <c r="B352" s="3"/>
    </row>
    <row r="353" spans="1:2" ht="13" x14ac:dyDescent="0.15">
      <c r="A353" s="3"/>
      <c r="B353" s="3"/>
    </row>
    <row r="354" spans="1:2" ht="13" x14ac:dyDescent="0.15">
      <c r="A354" s="3"/>
      <c r="B354" s="3"/>
    </row>
    <row r="355" spans="1:2" ht="13" x14ac:dyDescent="0.15">
      <c r="A355" s="3"/>
      <c r="B355" s="3"/>
    </row>
    <row r="356" spans="1:2" ht="13" x14ac:dyDescent="0.15">
      <c r="A356" s="3"/>
      <c r="B356" s="3"/>
    </row>
    <row r="357" spans="1:2" ht="13" x14ac:dyDescent="0.15">
      <c r="A357" s="3"/>
      <c r="B357" s="3"/>
    </row>
    <row r="358" spans="1:2" ht="13" x14ac:dyDescent="0.15">
      <c r="A358" s="3"/>
      <c r="B358" s="3"/>
    </row>
    <row r="359" spans="1:2" ht="13" x14ac:dyDescent="0.15">
      <c r="A359" s="3"/>
      <c r="B359" s="3"/>
    </row>
    <row r="360" spans="1:2" ht="13" x14ac:dyDescent="0.15">
      <c r="A360" s="3"/>
      <c r="B360" s="3"/>
    </row>
    <row r="361" spans="1:2" ht="13" x14ac:dyDescent="0.15">
      <c r="A361" s="3"/>
      <c r="B361" s="3"/>
    </row>
    <row r="362" spans="1:2" ht="13" x14ac:dyDescent="0.15">
      <c r="A362" s="3"/>
      <c r="B362" s="3"/>
    </row>
    <row r="363" spans="1:2" ht="13" x14ac:dyDescent="0.15">
      <c r="A363" s="3"/>
      <c r="B363" s="3"/>
    </row>
    <row r="364" spans="1:2" ht="13" x14ac:dyDescent="0.15">
      <c r="A364" s="3"/>
      <c r="B364" s="3"/>
    </row>
    <row r="365" spans="1:2" ht="13" x14ac:dyDescent="0.15">
      <c r="A365" s="3"/>
      <c r="B365" s="3"/>
    </row>
    <row r="366" spans="1:2" ht="13" x14ac:dyDescent="0.15">
      <c r="A366" s="3"/>
      <c r="B366" s="3"/>
    </row>
    <row r="367" spans="1:2" ht="13" x14ac:dyDescent="0.15">
      <c r="A367" s="3"/>
      <c r="B367" s="3"/>
    </row>
    <row r="368" spans="1:2" ht="13" x14ac:dyDescent="0.15">
      <c r="A368" s="3"/>
      <c r="B368" s="3"/>
    </row>
    <row r="369" spans="1:2" ht="13" x14ac:dyDescent="0.15">
      <c r="A369" s="3"/>
      <c r="B369" s="3"/>
    </row>
    <row r="370" spans="1:2" ht="13" x14ac:dyDescent="0.15">
      <c r="A370" s="3"/>
      <c r="B370" s="3"/>
    </row>
    <row r="371" spans="1:2" ht="13" x14ac:dyDescent="0.15">
      <c r="A371" s="3"/>
      <c r="B371" s="3"/>
    </row>
    <row r="372" spans="1:2" ht="13" x14ac:dyDescent="0.15">
      <c r="A372" s="3"/>
      <c r="B372" s="3"/>
    </row>
    <row r="373" spans="1:2" ht="13" x14ac:dyDescent="0.15">
      <c r="A373" s="3"/>
      <c r="B373" s="3"/>
    </row>
    <row r="374" spans="1:2" ht="13" x14ac:dyDescent="0.15">
      <c r="A374" s="3"/>
      <c r="B374" s="3"/>
    </row>
    <row r="375" spans="1:2" ht="13" x14ac:dyDescent="0.15">
      <c r="A375" s="3"/>
      <c r="B375" s="3"/>
    </row>
    <row r="376" spans="1:2" ht="13" x14ac:dyDescent="0.15">
      <c r="A376" s="3"/>
      <c r="B376" s="3"/>
    </row>
    <row r="377" spans="1:2" ht="13" x14ac:dyDescent="0.15">
      <c r="A377" s="3"/>
      <c r="B377" s="3"/>
    </row>
    <row r="378" spans="1:2" ht="13" x14ac:dyDescent="0.15">
      <c r="A378" s="3"/>
      <c r="B378" s="3"/>
    </row>
    <row r="379" spans="1:2" ht="13" x14ac:dyDescent="0.15">
      <c r="A379" s="3"/>
      <c r="B379" s="3"/>
    </row>
    <row r="380" spans="1:2" ht="13" x14ac:dyDescent="0.15">
      <c r="A380" s="3"/>
      <c r="B380" s="3"/>
    </row>
    <row r="381" spans="1:2" ht="13" x14ac:dyDescent="0.15">
      <c r="A381" s="3"/>
      <c r="B381" s="3"/>
    </row>
    <row r="382" spans="1:2" ht="13" x14ac:dyDescent="0.15">
      <c r="A382" s="3"/>
      <c r="B382" s="3"/>
    </row>
    <row r="383" spans="1:2" ht="13" x14ac:dyDescent="0.15">
      <c r="A383" s="3"/>
      <c r="B383" s="3"/>
    </row>
    <row r="384" spans="1:2" ht="13" x14ac:dyDescent="0.15">
      <c r="A384" s="3"/>
      <c r="B384" s="3"/>
    </row>
    <row r="385" spans="1:2" ht="13" x14ac:dyDescent="0.15">
      <c r="A385" s="3"/>
      <c r="B385" s="3"/>
    </row>
    <row r="386" spans="1:2" ht="13" x14ac:dyDescent="0.15">
      <c r="A386" s="3"/>
      <c r="B386" s="3"/>
    </row>
    <row r="387" spans="1:2" ht="13" x14ac:dyDescent="0.15">
      <c r="A387" s="3"/>
      <c r="B387" s="3"/>
    </row>
    <row r="388" spans="1:2" ht="13" x14ac:dyDescent="0.15">
      <c r="A388" s="3"/>
      <c r="B388" s="3"/>
    </row>
    <row r="389" spans="1:2" ht="13" x14ac:dyDescent="0.15">
      <c r="A389" s="3"/>
      <c r="B389" s="3"/>
    </row>
    <row r="390" spans="1:2" ht="13" x14ac:dyDescent="0.15">
      <c r="A390" s="3"/>
      <c r="B390" s="3"/>
    </row>
    <row r="391" spans="1:2" ht="13" x14ac:dyDescent="0.15">
      <c r="A391" s="3"/>
      <c r="B391" s="3"/>
    </row>
    <row r="392" spans="1:2" ht="13" x14ac:dyDescent="0.15">
      <c r="A392" s="3"/>
      <c r="B392" s="3"/>
    </row>
    <row r="393" spans="1:2" ht="13" x14ac:dyDescent="0.15">
      <c r="A393" s="3"/>
      <c r="B393" s="3"/>
    </row>
    <row r="394" spans="1:2" ht="13" x14ac:dyDescent="0.15">
      <c r="A394" s="3"/>
      <c r="B394" s="3"/>
    </row>
    <row r="395" spans="1:2" ht="13" x14ac:dyDescent="0.15">
      <c r="A395" s="3"/>
      <c r="B395" s="3"/>
    </row>
    <row r="396" spans="1:2" ht="13" x14ac:dyDescent="0.15">
      <c r="A396" s="3"/>
      <c r="B396" s="3"/>
    </row>
    <row r="397" spans="1:2" ht="13" x14ac:dyDescent="0.15">
      <c r="A397" s="3"/>
      <c r="B397" s="3"/>
    </row>
    <row r="398" spans="1:2" ht="13" x14ac:dyDescent="0.15">
      <c r="A398" s="3"/>
      <c r="B398" s="3"/>
    </row>
    <row r="399" spans="1:2" ht="13" x14ac:dyDescent="0.15">
      <c r="A399" s="3"/>
      <c r="B399" s="3"/>
    </row>
    <row r="400" spans="1:2" ht="13" x14ac:dyDescent="0.15">
      <c r="A400" s="3"/>
      <c r="B400" s="3"/>
    </row>
    <row r="401" spans="1:2" ht="13" x14ac:dyDescent="0.15">
      <c r="A401" s="3"/>
      <c r="B401" s="3"/>
    </row>
    <row r="402" spans="1:2" ht="13" x14ac:dyDescent="0.15">
      <c r="A402" s="3"/>
      <c r="B402" s="3"/>
    </row>
    <row r="403" spans="1:2" ht="13" x14ac:dyDescent="0.15">
      <c r="A403" s="3"/>
      <c r="B403" s="3"/>
    </row>
    <row r="404" spans="1:2" ht="13" x14ac:dyDescent="0.15">
      <c r="A404" s="3"/>
      <c r="B404" s="3"/>
    </row>
    <row r="405" spans="1:2" ht="13" x14ac:dyDescent="0.15">
      <c r="A405" s="3"/>
      <c r="B405" s="3"/>
    </row>
    <row r="406" spans="1:2" ht="13" x14ac:dyDescent="0.15">
      <c r="A406" s="3"/>
      <c r="B406" s="3"/>
    </row>
    <row r="407" spans="1:2" ht="13" x14ac:dyDescent="0.15">
      <c r="A407" s="3"/>
      <c r="B407" s="3"/>
    </row>
    <row r="408" spans="1:2" ht="13" x14ac:dyDescent="0.15">
      <c r="A408" s="3"/>
      <c r="B408" s="3"/>
    </row>
    <row r="409" spans="1:2" ht="13" x14ac:dyDescent="0.15">
      <c r="A409" s="3"/>
      <c r="B409" s="3"/>
    </row>
    <row r="410" spans="1:2" ht="13" x14ac:dyDescent="0.15">
      <c r="A410" s="3"/>
      <c r="B410" s="3"/>
    </row>
    <row r="411" spans="1:2" ht="13" x14ac:dyDescent="0.15">
      <c r="A411" s="3"/>
      <c r="B411" s="3"/>
    </row>
    <row r="412" spans="1:2" ht="13" x14ac:dyDescent="0.15">
      <c r="A412" s="3"/>
      <c r="B412" s="3"/>
    </row>
    <row r="413" spans="1:2" ht="13" x14ac:dyDescent="0.15">
      <c r="A413" s="3"/>
      <c r="B413" s="3"/>
    </row>
    <row r="414" spans="1:2" ht="13" x14ac:dyDescent="0.15">
      <c r="A414" s="3"/>
      <c r="B414" s="3"/>
    </row>
    <row r="415" spans="1:2" ht="13" x14ac:dyDescent="0.15">
      <c r="A415" s="3"/>
      <c r="B415" s="3"/>
    </row>
    <row r="416" spans="1:2" ht="13" x14ac:dyDescent="0.15">
      <c r="A416" s="3"/>
      <c r="B416" s="3"/>
    </row>
    <row r="417" spans="1:2" ht="13" x14ac:dyDescent="0.15">
      <c r="A417" s="3"/>
      <c r="B417" s="3"/>
    </row>
    <row r="418" spans="1:2" ht="13" x14ac:dyDescent="0.15">
      <c r="A418" s="3"/>
      <c r="B418" s="3"/>
    </row>
    <row r="419" spans="1:2" ht="13" x14ac:dyDescent="0.15">
      <c r="A419" s="3"/>
      <c r="B419" s="3"/>
    </row>
    <row r="420" spans="1:2" ht="13" x14ac:dyDescent="0.15">
      <c r="A420" s="3"/>
      <c r="B420" s="3"/>
    </row>
    <row r="421" spans="1:2" ht="13" x14ac:dyDescent="0.15">
      <c r="A421" s="3"/>
      <c r="B421" s="3"/>
    </row>
    <row r="422" spans="1:2" ht="13" x14ac:dyDescent="0.15">
      <c r="A422" s="3"/>
      <c r="B422" s="3"/>
    </row>
    <row r="423" spans="1:2" ht="13" x14ac:dyDescent="0.15">
      <c r="A423" s="3"/>
      <c r="B423" s="3"/>
    </row>
    <row r="424" spans="1:2" ht="13" x14ac:dyDescent="0.15">
      <c r="A424" s="3"/>
      <c r="B424" s="3"/>
    </row>
    <row r="425" spans="1:2" ht="13" x14ac:dyDescent="0.15">
      <c r="A425" s="3"/>
      <c r="B425" s="3"/>
    </row>
    <row r="426" spans="1:2" ht="13" x14ac:dyDescent="0.15">
      <c r="A426" s="3"/>
      <c r="B426" s="3"/>
    </row>
    <row r="427" spans="1:2" ht="13" x14ac:dyDescent="0.15">
      <c r="A427" s="3"/>
      <c r="B427" s="3"/>
    </row>
    <row r="428" spans="1:2" ht="13" x14ac:dyDescent="0.15">
      <c r="A428" s="3"/>
      <c r="B428" s="3"/>
    </row>
    <row r="429" spans="1:2" ht="13" x14ac:dyDescent="0.15">
      <c r="A429" s="3"/>
      <c r="B429" s="3"/>
    </row>
    <row r="430" spans="1:2" ht="13" x14ac:dyDescent="0.15">
      <c r="A430" s="3"/>
      <c r="B430" s="3"/>
    </row>
    <row r="431" spans="1:2" ht="13" x14ac:dyDescent="0.15">
      <c r="A431" s="3"/>
      <c r="B431" s="3"/>
    </row>
    <row r="432" spans="1:2" ht="13" x14ac:dyDescent="0.15">
      <c r="A432" s="3"/>
      <c r="B432" s="3"/>
    </row>
    <row r="433" spans="1:2" ht="13" x14ac:dyDescent="0.15">
      <c r="A433" s="3"/>
      <c r="B433" s="3"/>
    </row>
    <row r="434" spans="1:2" ht="13" x14ac:dyDescent="0.15">
      <c r="A434" s="3"/>
      <c r="B434" s="3"/>
    </row>
    <row r="435" spans="1:2" ht="13" x14ac:dyDescent="0.15">
      <c r="A435" s="3"/>
      <c r="B435" s="3"/>
    </row>
    <row r="436" spans="1:2" ht="13" x14ac:dyDescent="0.15">
      <c r="A436" s="3"/>
      <c r="B436" s="3"/>
    </row>
    <row r="437" spans="1:2" ht="13" x14ac:dyDescent="0.15">
      <c r="A437" s="3"/>
      <c r="B437" s="3"/>
    </row>
    <row r="438" spans="1:2" ht="13" x14ac:dyDescent="0.15">
      <c r="A438" s="3"/>
      <c r="B438" s="3"/>
    </row>
    <row r="439" spans="1:2" ht="13" x14ac:dyDescent="0.15">
      <c r="A439" s="3"/>
      <c r="B439" s="3"/>
    </row>
    <row r="440" spans="1:2" ht="13" x14ac:dyDescent="0.15">
      <c r="A440" s="3"/>
      <c r="B440" s="3"/>
    </row>
    <row r="441" spans="1:2" ht="13" x14ac:dyDescent="0.15">
      <c r="A441" s="3"/>
      <c r="B441" s="3"/>
    </row>
    <row r="442" spans="1:2" ht="13" x14ac:dyDescent="0.15">
      <c r="A442" s="3"/>
      <c r="B442" s="3"/>
    </row>
    <row r="443" spans="1:2" ht="13" x14ac:dyDescent="0.15">
      <c r="A443" s="3"/>
      <c r="B443" s="3"/>
    </row>
    <row r="444" spans="1:2" ht="13" x14ac:dyDescent="0.15">
      <c r="A444" s="3"/>
      <c r="B444" s="3"/>
    </row>
    <row r="445" spans="1:2" ht="13" x14ac:dyDescent="0.15">
      <c r="A445" s="3"/>
      <c r="B445" s="3"/>
    </row>
    <row r="446" spans="1:2" ht="13" x14ac:dyDescent="0.15">
      <c r="A446" s="3"/>
      <c r="B446" s="3"/>
    </row>
    <row r="447" spans="1:2" ht="13" x14ac:dyDescent="0.15">
      <c r="A447" s="3"/>
      <c r="B447" s="3"/>
    </row>
    <row r="448" spans="1:2" ht="13" x14ac:dyDescent="0.15">
      <c r="A448" s="3"/>
      <c r="B448" s="3"/>
    </row>
    <row r="449" spans="1:2" ht="13" x14ac:dyDescent="0.15">
      <c r="A449" s="3"/>
      <c r="B449" s="3"/>
    </row>
    <row r="450" spans="1:2" ht="13" x14ac:dyDescent="0.15">
      <c r="A450" s="3"/>
      <c r="B450" s="3"/>
    </row>
    <row r="451" spans="1:2" ht="13" x14ac:dyDescent="0.15">
      <c r="A451" s="3"/>
      <c r="B451" s="3"/>
    </row>
    <row r="452" spans="1:2" ht="13" x14ac:dyDescent="0.15">
      <c r="A452" s="3"/>
      <c r="B452" s="3"/>
    </row>
    <row r="453" spans="1:2" ht="13" x14ac:dyDescent="0.15">
      <c r="A453" s="3"/>
      <c r="B453" s="3"/>
    </row>
    <row r="454" spans="1:2" ht="13" x14ac:dyDescent="0.15">
      <c r="A454" s="3"/>
      <c r="B454" s="3"/>
    </row>
    <row r="455" spans="1:2" ht="13" x14ac:dyDescent="0.15">
      <c r="A455" s="3"/>
      <c r="B455" s="3"/>
    </row>
    <row r="456" spans="1:2" ht="13" x14ac:dyDescent="0.15">
      <c r="A456" s="3"/>
      <c r="B456" s="3"/>
    </row>
    <row r="457" spans="1:2" ht="13" x14ac:dyDescent="0.15">
      <c r="A457" s="3"/>
      <c r="B457" s="3"/>
    </row>
    <row r="458" spans="1:2" ht="13" x14ac:dyDescent="0.15">
      <c r="A458" s="3"/>
      <c r="B458" s="3"/>
    </row>
    <row r="459" spans="1:2" ht="13" x14ac:dyDescent="0.15">
      <c r="A459" s="3"/>
      <c r="B459" s="3"/>
    </row>
    <row r="460" spans="1:2" ht="13" x14ac:dyDescent="0.15">
      <c r="A460" s="3"/>
      <c r="B460" s="3"/>
    </row>
    <row r="461" spans="1:2" ht="13" x14ac:dyDescent="0.15">
      <c r="A461" s="3"/>
      <c r="B461" s="3"/>
    </row>
    <row r="462" spans="1:2" ht="13" x14ac:dyDescent="0.15">
      <c r="A462" s="3"/>
      <c r="B462" s="3"/>
    </row>
    <row r="463" spans="1:2" ht="13" x14ac:dyDescent="0.15">
      <c r="A463" s="3"/>
      <c r="B463" s="3"/>
    </row>
    <row r="464" spans="1:2" ht="13" x14ac:dyDescent="0.15">
      <c r="A464" s="3"/>
      <c r="B464" s="3"/>
    </row>
    <row r="465" spans="1:2" ht="13" x14ac:dyDescent="0.15">
      <c r="A465" s="3"/>
      <c r="B465" s="3"/>
    </row>
    <row r="466" spans="1:2" ht="13" x14ac:dyDescent="0.15">
      <c r="A466" s="3"/>
      <c r="B466" s="3"/>
    </row>
    <row r="467" spans="1:2" ht="13" x14ac:dyDescent="0.15">
      <c r="A467" s="3"/>
      <c r="B467" s="3"/>
    </row>
    <row r="468" spans="1:2" ht="13" x14ac:dyDescent="0.15">
      <c r="A468" s="3"/>
      <c r="B468" s="3"/>
    </row>
    <row r="469" spans="1:2" ht="13" x14ac:dyDescent="0.15">
      <c r="A469" s="3"/>
      <c r="B469" s="3"/>
    </row>
    <row r="470" spans="1:2" ht="13" x14ac:dyDescent="0.15">
      <c r="A470" s="3"/>
      <c r="B470" s="3"/>
    </row>
    <row r="471" spans="1:2" ht="13" x14ac:dyDescent="0.15">
      <c r="A471" s="3"/>
      <c r="B471" s="3"/>
    </row>
    <row r="472" spans="1:2" ht="13" x14ac:dyDescent="0.15">
      <c r="A472" s="3"/>
      <c r="B472" s="3"/>
    </row>
    <row r="473" spans="1:2" ht="13" x14ac:dyDescent="0.15">
      <c r="A473" s="3"/>
      <c r="B473" s="3"/>
    </row>
    <row r="474" spans="1:2" ht="13" x14ac:dyDescent="0.15">
      <c r="A474" s="3"/>
      <c r="B474" s="3"/>
    </row>
    <row r="475" spans="1:2" ht="13" x14ac:dyDescent="0.15">
      <c r="A475" s="3"/>
      <c r="B475" s="3"/>
    </row>
    <row r="476" spans="1:2" ht="13" x14ac:dyDescent="0.15">
      <c r="A476" s="3"/>
      <c r="B476" s="3"/>
    </row>
    <row r="477" spans="1:2" ht="13" x14ac:dyDescent="0.15">
      <c r="A477" s="3"/>
      <c r="B477" s="3"/>
    </row>
    <row r="478" spans="1:2" ht="13" x14ac:dyDescent="0.15">
      <c r="A478" s="3"/>
      <c r="B478" s="3"/>
    </row>
    <row r="479" spans="1:2" ht="13" x14ac:dyDescent="0.15">
      <c r="A479" s="3"/>
      <c r="B479" s="3"/>
    </row>
    <row r="480" spans="1:2" ht="13" x14ac:dyDescent="0.15">
      <c r="A480" s="3"/>
      <c r="B480" s="3"/>
    </row>
    <row r="481" spans="1:2" ht="13" x14ac:dyDescent="0.15">
      <c r="A481" s="3"/>
      <c r="B481" s="3"/>
    </row>
    <row r="482" spans="1:2" ht="13" x14ac:dyDescent="0.15">
      <c r="A482" s="3"/>
      <c r="B482" s="3"/>
    </row>
    <row r="483" spans="1:2" ht="13" x14ac:dyDescent="0.15">
      <c r="A483" s="3"/>
      <c r="B483" s="3"/>
    </row>
    <row r="484" spans="1:2" ht="13" x14ac:dyDescent="0.15">
      <c r="A484" s="3"/>
      <c r="B484" s="3"/>
    </row>
    <row r="485" spans="1:2" ht="13" x14ac:dyDescent="0.15">
      <c r="A485" s="3"/>
      <c r="B485" s="3"/>
    </row>
    <row r="486" spans="1:2" ht="13" x14ac:dyDescent="0.15">
      <c r="A486" s="3"/>
      <c r="B486" s="3"/>
    </row>
    <row r="487" spans="1:2" ht="13" x14ac:dyDescent="0.15">
      <c r="A487" s="3"/>
      <c r="B487" s="3"/>
    </row>
    <row r="488" spans="1:2" ht="13" x14ac:dyDescent="0.15">
      <c r="A488" s="3"/>
      <c r="B488" s="3"/>
    </row>
    <row r="489" spans="1:2" ht="13" x14ac:dyDescent="0.15">
      <c r="A489" s="3"/>
      <c r="B489" s="3"/>
    </row>
    <row r="490" spans="1:2" ht="13" x14ac:dyDescent="0.15">
      <c r="A490" s="3"/>
      <c r="B490" s="3"/>
    </row>
    <row r="491" spans="1:2" ht="13" x14ac:dyDescent="0.15">
      <c r="A491" s="3"/>
      <c r="B491" s="3"/>
    </row>
    <row r="492" spans="1:2" ht="13" x14ac:dyDescent="0.15">
      <c r="A492" s="3"/>
      <c r="B492" s="3"/>
    </row>
    <row r="493" spans="1:2" ht="13" x14ac:dyDescent="0.15">
      <c r="A493" s="3"/>
      <c r="B493" s="3"/>
    </row>
    <row r="494" spans="1:2" ht="13" x14ac:dyDescent="0.15">
      <c r="A494" s="3"/>
      <c r="B494" s="3"/>
    </row>
    <row r="495" spans="1:2" ht="13" x14ac:dyDescent="0.15">
      <c r="A495" s="3"/>
      <c r="B495" s="3"/>
    </row>
    <row r="496" spans="1:2" ht="13" x14ac:dyDescent="0.15">
      <c r="A496" s="3"/>
      <c r="B496" s="3"/>
    </row>
    <row r="497" spans="1:2" ht="13" x14ac:dyDescent="0.15">
      <c r="A497" s="3"/>
      <c r="B497" s="3"/>
    </row>
    <row r="498" spans="1:2" ht="13" x14ac:dyDescent="0.15">
      <c r="A498" s="3"/>
      <c r="B498" s="3"/>
    </row>
    <row r="499" spans="1:2" ht="13" x14ac:dyDescent="0.15">
      <c r="A499" s="3"/>
      <c r="B499" s="3"/>
    </row>
    <row r="500" spans="1:2" ht="13" x14ac:dyDescent="0.15">
      <c r="A500" s="3"/>
      <c r="B500" s="3"/>
    </row>
    <row r="501" spans="1:2" ht="13" x14ac:dyDescent="0.15">
      <c r="A501" s="3"/>
      <c r="B501" s="3"/>
    </row>
    <row r="502" spans="1:2" ht="13" x14ac:dyDescent="0.15">
      <c r="A502" s="3"/>
      <c r="B502" s="3"/>
    </row>
    <row r="503" spans="1:2" ht="13" x14ac:dyDescent="0.15">
      <c r="A503" s="3"/>
      <c r="B503" s="3"/>
    </row>
    <row r="504" spans="1:2" ht="13" x14ac:dyDescent="0.15">
      <c r="A504" s="3"/>
      <c r="B504" s="3"/>
    </row>
    <row r="505" spans="1:2" ht="13" x14ac:dyDescent="0.15">
      <c r="A505" s="3"/>
      <c r="B505" s="3"/>
    </row>
    <row r="506" spans="1:2" ht="13" x14ac:dyDescent="0.15">
      <c r="A506" s="3"/>
      <c r="B506" s="3"/>
    </row>
    <row r="507" spans="1:2" ht="13" x14ac:dyDescent="0.15">
      <c r="A507" s="3"/>
      <c r="B507" s="3"/>
    </row>
    <row r="508" spans="1:2" ht="13" x14ac:dyDescent="0.15">
      <c r="A508" s="3"/>
      <c r="B508" s="3"/>
    </row>
    <row r="509" spans="1:2" ht="13" x14ac:dyDescent="0.15">
      <c r="A509" s="3"/>
      <c r="B509" s="3"/>
    </row>
    <row r="510" spans="1:2" ht="13" x14ac:dyDescent="0.15">
      <c r="A510" s="3"/>
      <c r="B510" s="3"/>
    </row>
    <row r="511" spans="1:2" ht="13" x14ac:dyDescent="0.15">
      <c r="A511" s="3"/>
      <c r="B511" s="3"/>
    </row>
    <row r="512" spans="1:2" ht="13" x14ac:dyDescent="0.15">
      <c r="A512" s="3"/>
      <c r="B512" s="3"/>
    </row>
    <row r="513" spans="1:2" ht="13" x14ac:dyDescent="0.15">
      <c r="A513" s="3"/>
      <c r="B513" s="3"/>
    </row>
    <row r="514" spans="1:2" ht="13" x14ac:dyDescent="0.15">
      <c r="A514" s="3"/>
      <c r="B514" s="3"/>
    </row>
    <row r="515" spans="1:2" ht="13" x14ac:dyDescent="0.15">
      <c r="A515" s="3"/>
      <c r="B515" s="3"/>
    </row>
    <row r="516" spans="1:2" ht="13" x14ac:dyDescent="0.15">
      <c r="A516" s="3"/>
      <c r="B516" s="3"/>
    </row>
    <row r="517" spans="1:2" ht="13" x14ac:dyDescent="0.15">
      <c r="A517" s="3"/>
      <c r="B517" s="3"/>
    </row>
    <row r="518" spans="1:2" ht="13" x14ac:dyDescent="0.15">
      <c r="A518" s="3"/>
      <c r="B518" s="3"/>
    </row>
    <row r="519" spans="1:2" ht="13" x14ac:dyDescent="0.15">
      <c r="A519" s="3"/>
      <c r="B519" s="3"/>
    </row>
    <row r="520" spans="1:2" ht="13" x14ac:dyDescent="0.15">
      <c r="A520" s="3"/>
      <c r="B520" s="3"/>
    </row>
    <row r="521" spans="1:2" ht="13" x14ac:dyDescent="0.15">
      <c r="A521" s="3"/>
      <c r="B521" s="3"/>
    </row>
    <row r="522" spans="1:2" ht="13" x14ac:dyDescent="0.15">
      <c r="A522" s="3"/>
      <c r="B522" s="3"/>
    </row>
    <row r="523" spans="1:2" ht="13" x14ac:dyDescent="0.15">
      <c r="A523" s="3"/>
      <c r="B523" s="3"/>
    </row>
    <row r="524" spans="1:2" ht="13" x14ac:dyDescent="0.15">
      <c r="A524" s="3"/>
      <c r="B524" s="3"/>
    </row>
    <row r="525" spans="1:2" ht="13" x14ac:dyDescent="0.15">
      <c r="A525" s="3"/>
      <c r="B525" s="3"/>
    </row>
    <row r="526" spans="1:2" ht="13" x14ac:dyDescent="0.15">
      <c r="A526" s="3"/>
      <c r="B526" s="3"/>
    </row>
    <row r="527" spans="1:2" ht="13" x14ac:dyDescent="0.15">
      <c r="A527" s="3"/>
      <c r="B527" s="3"/>
    </row>
    <row r="528" spans="1:2" ht="13" x14ac:dyDescent="0.15">
      <c r="A528" s="3"/>
      <c r="B528" s="3"/>
    </row>
    <row r="529" spans="1:2" ht="13" x14ac:dyDescent="0.15">
      <c r="A529" s="3"/>
      <c r="B529" s="3"/>
    </row>
    <row r="530" spans="1:2" ht="13" x14ac:dyDescent="0.15">
      <c r="A530" s="3"/>
      <c r="B530" s="3"/>
    </row>
    <row r="531" spans="1:2" ht="13" x14ac:dyDescent="0.15">
      <c r="A531" s="3"/>
      <c r="B531" s="3"/>
    </row>
    <row r="532" spans="1:2" ht="13" x14ac:dyDescent="0.15">
      <c r="A532" s="3"/>
      <c r="B532" s="3"/>
    </row>
    <row r="533" spans="1:2" ht="13" x14ac:dyDescent="0.15">
      <c r="A533" s="3"/>
      <c r="B533" s="3"/>
    </row>
    <row r="534" spans="1:2" ht="13" x14ac:dyDescent="0.15">
      <c r="A534" s="3"/>
      <c r="B534" s="3"/>
    </row>
    <row r="535" spans="1:2" ht="13" x14ac:dyDescent="0.15">
      <c r="A535" s="3"/>
      <c r="B535" s="3"/>
    </row>
    <row r="536" spans="1:2" ht="13" x14ac:dyDescent="0.15">
      <c r="A536" s="3"/>
      <c r="B536" s="3"/>
    </row>
    <row r="537" spans="1:2" ht="13" x14ac:dyDescent="0.15">
      <c r="A537" s="3"/>
      <c r="B537" s="3"/>
    </row>
    <row r="538" spans="1:2" ht="13" x14ac:dyDescent="0.15">
      <c r="A538" s="3"/>
      <c r="B538" s="3"/>
    </row>
    <row r="539" spans="1:2" ht="13" x14ac:dyDescent="0.15">
      <c r="A539" s="3"/>
      <c r="B539" s="3"/>
    </row>
    <row r="540" spans="1:2" ht="13" x14ac:dyDescent="0.15">
      <c r="A540" s="3"/>
      <c r="B540" s="3"/>
    </row>
    <row r="541" spans="1:2" ht="13" x14ac:dyDescent="0.15">
      <c r="A541" s="3"/>
      <c r="B541" s="3"/>
    </row>
    <row r="542" spans="1:2" ht="13" x14ac:dyDescent="0.15">
      <c r="A542" s="3"/>
      <c r="B542" s="3"/>
    </row>
    <row r="543" spans="1:2" ht="13" x14ac:dyDescent="0.15">
      <c r="A543" s="3"/>
      <c r="B543" s="3"/>
    </row>
    <row r="544" spans="1:2" ht="13" x14ac:dyDescent="0.15">
      <c r="A544" s="3"/>
      <c r="B544" s="3"/>
    </row>
    <row r="545" spans="1:2" ht="13" x14ac:dyDescent="0.15">
      <c r="A545" s="3"/>
      <c r="B545" s="3"/>
    </row>
    <row r="546" spans="1:2" ht="13" x14ac:dyDescent="0.15">
      <c r="A546" s="3"/>
      <c r="B546" s="3"/>
    </row>
    <row r="547" spans="1:2" ht="13" x14ac:dyDescent="0.15">
      <c r="A547" s="3"/>
      <c r="B547" s="3"/>
    </row>
    <row r="548" spans="1:2" ht="13" x14ac:dyDescent="0.15">
      <c r="A548" s="3"/>
      <c r="B548" s="3"/>
    </row>
    <row r="549" spans="1:2" ht="13" x14ac:dyDescent="0.15">
      <c r="A549" s="3"/>
      <c r="B549" s="3"/>
    </row>
    <row r="550" spans="1:2" ht="13" x14ac:dyDescent="0.15">
      <c r="A550" s="3"/>
      <c r="B550" s="3"/>
    </row>
    <row r="551" spans="1:2" ht="13" x14ac:dyDescent="0.15">
      <c r="A551" s="3"/>
      <c r="B551" s="3"/>
    </row>
    <row r="552" spans="1:2" ht="13" x14ac:dyDescent="0.15">
      <c r="A552" s="3"/>
      <c r="B552" s="3"/>
    </row>
    <row r="553" spans="1:2" ht="13" x14ac:dyDescent="0.15">
      <c r="A553" s="3"/>
      <c r="B553" s="3"/>
    </row>
    <row r="554" spans="1:2" ht="13" x14ac:dyDescent="0.15">
      <c r="A554" s="3"/>
      <c r="B554" s="3"/>
    </row>
    <row r="555" spans="1:2" ht="13" x14ac:dyDescent="0.15">
      <c r="A555" s="3"/>
      <c r="B555" s="3"/>
    </row>
    <row r="556" spans="1:2" ht="13" x14ac:dyDescent="0.15">
      <c r="A556" s="3"/>
      <c r="B556" s="3"/>
    </row>
    <row r="557" spans="1:2" ht="13" x14ac:dyDescent="0.15">
      <c r="A557" s="3"/>
      <c r="B557" s="3"/>
    </row>
    <row r="558" spans="1:2" ht="13" x14ac:dyDescent="0.15">
      <c r="A558" s="3"/>
      <c r="B558" s="3"/>
    </row>
    <row r="559" spans="1:2" ht="13" x14ac:dyDescent="0.15">
      <c r="A559" s="3"/>
      <c r="B559" s="3"/>
    </row>
    <row r="560" spans="1:2" ht="13" x14ac:dyDescent="0.15">
      <c r="A560" s="3"/>
      <c r="B560" s="3"/>
    </row>
    <row r="561" spans="1:2" ht="13" x14ac:dyDescent="0.15">
      <c r="A561" s="3"/>
      <c r="B561" s="3"/>
    </row>
    <row r="562" spans="1:2" ht="13" x14ac:dyDescent="0.15">
      <c r="A562" s="3"/>
      <c r="B562" s="3"/>
    </row>
    <row r="563" spans="1:2" ht="13" x14ac:dyDescent="0.15">
      <c r="A563" s="3"/>
      <c r="B563" s="3"/>
    </row>
    <row r="564" spans="1:2" ht="13" x14ac:dyDescent="0.15">
      <c r="A564" s="3"/>
      <c r="B564" s="3"/>
    </row>
    <row r="565" spans="1:2" ht="13" x14ac:dyDescent="0.15">
      <c r="A565" s="3"/>
      <c r="B565" s="3"/>
    </row>
    <row r="566" spans="1:2" ht="13" x14ac:dyDescent="0.15">
      <c r="A566" s="3"/>
      <c r="B566" s="3"/>
    </row>
    <row r="567" spans="1:2" ht="13" x14ac:dyDescent="0.15">
      <c r="A567" s="3"/>
      <c r="B567" s="3"/>
    </row>
    <row r="568" spans="1:2" ht="13" x14ac:dyDescent="0.15">
      <c r="A568" s="3"/>
      <c r="B568" s="3"/>
    </row>
    <row r="569" spans="1:2" ht="13" x14ac:dyDescent="0.15">
      <c r="A569" s="3"/>
      <c r="B569" s="3"/>
    </row>
    <row r="570" spans="1:2" ht="13" x14ac:dyDescent="0.15">
      <c r="A570" s="3"/>
      <c r="B570" s="3"/>
    </row>
    <row r="571" spans="1:2" ht="13" x14ac:dyDescent="0.15">
      <c r="A571" s="3"/>
      <c r="B571" s="3"/>
    </row>
    <row r="572" spans="1:2" ht="13" x14ac:dyDescent="0.15">
      <c r="A572" s="3"/>
      <c r="B572" s="3"/>
    </row>
    <row r="573" spans="1:2" ht="13" x14ac:dyDescent="0.15">
      <c r="A573" s="3"/>
      <c r="B573" s="3"/>
    </row>
    <row r="574" spans="1:2" ht="13" x14ac:dyDescent="0.15">
      <c r="A574" s="3"/>
      <c r="B574" s="3"/>
    </row>
    <row r="575" spans="1:2" ht="13" x14ac:dyDescent="0.15">
      <c r="A575" s="3"/>
      <c r="B575" s="3"/>
    </row>
    <row r="576" spans="1:2" ht="13" x14ac:dyDescent="0.15">
      <c r="A576" s="3"/>
      <c r="B576" s="3"/>
    </row>
    <row r="577" spans="1:2" ht="13" x14ac:dyDescent="0.15">
      <c r="A577" s="3"/>
      <c r="B577" s="3"/>
    </row>
    <row r="578" spans="1:2" ht="13" x14ac:dyDescent="0.15">
      <c r="A578" s="3"/>
      <c r="B578" s="3"/>
    </row>
    <row r="579" spans="1:2" ht="13" x14ac:dyDescent="0.15">
      <c r="A579" s="3"/>
      <c r="B579" s="3"/>
    </row>
    <row r="580" spans="1:2" ht="13" x14ac:dyDescent="0.15">
      <c r="A580" s="3"/>
      <c r="B580" s="3"/>
    </row>
    <row r="581" spans="1:2" ht="13" x14ac:dyDescent="0.15">
      <c r="A581" s="3"/>
      <c r="B581" s="3"/>
    </row>
    <row r="582" spans="1:2" ht="13" x14ac:dyDescent="0.15">
      <c r="A582" s="3"/>
      <c r="B582" s="3"/>
    </row>
    <row r="583" spans="1:2" ht="13" x14ac:dyDescent="0.15">
      <c r="A583" s="3"/>
      <c r="B583" s="3"/>
    </row>
    <row r="584" spans="1:2" ht="13" x14ac:dyDescent="0.15">
      <c r="A584" s="3"/>
      <c r="B584" s="3"/>
    </row>
    <row r="585" spans="1:2" ht="13" x14ac:dyDescent="0.15">
      <c r="A585" s="3"/>
      <c r="B585" s="3"/>
    </row>
    <row r="586" spans="1:2" ht="13" x14ac:dyDescent="0.15">
      <c r="A586" s="3"/>
      <c r="B586" s="3"/>
    </row>
    <row r="587" spans="1:2" ht="13" x14ac:dyDescent="0.15">
      <c r="A587" s="3"/>
      <c r="B587" s="3"/>
    </row>
    <row r="588" spans="1:2" ht="13" x14ac:dyDescent="0.15">
      <c r="A588" s="3"/>
      <c r="B588" s="3"/>
    </row>
    <row r="589" spans="1:2" ht="13" x14ac:dyDescent="0.15">
      <c r="A589" s="3"/>
      <c r="B589" s="3"/>
    </row>
    <row r="590" spans="1:2" ht="13" x14ac:dyDescent="0.15">
      <c r="A590" s="3"/>
      <c r="B590" s="3"/>
    </row>
    <row r="591" spans="1:2" ht="13" x14ac:dyDescent="0.15">
      <c r="A591" s="3"/>
      <c r="B591" s="3"/>
    </row>
    <row r="592" spans="1:2" ht="13" x14ac:dyDescent="0.15">
      <c r="A592" s="3"/>
      <c r="B592" s="3"/>
    </row>
    <row r="593" spans="1:2" ht="13" x14ac:dyDescent="0.15">
      <c r="A593" s="3"/>
      <c r="B593" s="3"/>
    </row>
    <row r="594" spans="1:2" ht="13" x14ac:dyDescent="0.15">
      <c r="A594" s="3"/>
      <c r="B594" s="3"/>
    </row>
    <row r="595" spans="1:2" ht="13" x14ac:dyDescent="0.15">
      <c r="A595" s="3"/>
      <c r="B595" s="3"/>
    </row>
    <row r="596" spans="1:2" ht="13" x14ac:dyDescent="0.15">
      <c r="A596" s="3"/>
      <c r="B596" s="3"/>
    </row>
    <row r="597" spans="1:2" ht="13" x14ac:dyDescent="0.15">
      <c r="A597" s="3"/>
      <c r="B597" s="3"/>
    </row>
    <row r="598" spans="1:2" ht="13" x14ac:dyDescent="0.15">
      <c r="A598" s="3"/>
      <c r="B598" s="3"/>
    </row>
    <row r="599" spans="1:2" ht="13" x14ac:dyDescent="0.15">
      <c r="A599" s="3"/>
      <c r="B599" s="3"/>
    </row>
    <row r="600" spans="1:2" ht="13" x14ac:dyDescent="0.15">
      <c r="A600" s="3"/>
      <c r="B600" s="3"/>
    </row>
    <row r="601" spans="1:2" ht="13" x14ac:dyDescent="0.15">
      <c r="A601" s="3"/>
      <c r="B601" s="3"/>
    </row>
    <row r="602" spans="1:2" ht="13" x14ac:dyDescent="0.15">
      <c r="A602" s="3"/>
      <c r="B602" s="3"/>
    </row>
    <row r="603" spans="1:2" ht="13" x14ac:dyDescent="0.15">
      <c r="A603" s="3"/>
      <c r="B603" s="3"/>
    </row>
    <row r="604" spans="1:2" ht="13" x14ac:dyDescent="0.15">
      <c r="A604" s="3"/>
      <c r="B604" s="3"/>
    </row>
    <row r="605" spans="1:2" ht="13" x14ac:dyDescent="0.15">
      <c r="A605" s="3"/>
      <c r="B605" s="3"/>
    </row>
    <row r="606" spans="1:2" ht="13" x14ac:dyDescent="0.15">
      <c r="A606" s="3"/>
      <c r="B606" s="3"/>
    </row>
    <row r="607" spans="1:2" ht="13" x14ac:dyDescent="0.15">
      <c r="A607" s="3"/>
      <c r="B607" s="3"/>
    </row>
    <row r="608" spans="1:2" ht="13" x14ac:dyDescent="0.15">
      <c r="A608" s="3"/>
      <c r="B608" s="3"/>
    </row>
    <row r="609" spans="1:2" ht="13" x14ac:dyDescent="0.15">
      <c r="A609" s="3"/>
      <c r="B609" s="3"/>
    </row>
    <row r="610" spans="1:2" ht="13" x14ac:dyDescent="0.15">
      <c r="A610" s="3"/>
      <c r="B610" s="3"/>
    </row>
    <row r="611" spans="1:2" ht="13" x14ac:dyDescent="0.15">
      <c r="A611" s="3"/>
      <c r="B611" s="3"/>
    </row>
    <row r="612" spans="1:2" ht="13" x14ac:dyDescent="0.15">
      <c r="A612" s="3"/>
      <c r="B612" s="3"/>
    </row>
    <row r="613" spans="1:2" ht="13" x14ac:dyDescent="0.15">
      <c r="A613" s="3"/>
      <c r="B613" s="3"/>
    </row>
    <row r="614" spans="1:2" ht="13" x14ac:dyDescent="0.15">
      <c r="A614" s="3"/>
      <c r="B614" s="3"/>
    </row>
    <row r="615" spans="1:2" ht="13" x14ac:dyDescent="0.15">
      <c r="A615" s="3"/>
      <c r="B615" s="3"/>
    </row>
    <row r="616" spans="1:2" ht="13" x14ac:dyDescent="0.15">
      <c r="A616" s="3"/>
      <c r="B616" s="3"/>
    </row>
    <row r="617" spans="1:2" ht="13" x14ac:dyDescent="0.15">
      <c r="A617" s="3"/>
      <c r="B617" s="3"/>
    </row>
    <row r="618" spans="1:2" ht="13" x14ac:dyDescent="0.15">
      <c r="A618" s="3"/>
      <c r="B618" s="3"/>
    </row>
    <row r="619" spans="1:2" ht="13" x14ac:dyDescent="0.15">
      <c r="A619" s="3"/>
      <c r="B619" s="3"/>
    </row>
    <row r="620" spans="1:2" ht="13" x14ac:dyDescent="0.15">
      <c r="A620" s="3"/>
      <c r="B620" s="3"/>
    </row>
    <row r="621" spans="1:2" ht="13" x14ac:dyDescent="0.15">
      <c r="A621" s="3"/>
      <c r="B621" s="3"/>
    </row>
    <row r="622" spans="1:2" ht="13" x14ac:dyDescent="0.15">
      <c r="A622" s="3"/>
      <c r="B622" s="3"/>
    </row>
    <row r="623" spans="1:2" ht="13" x14ac:dyDescent="0.15">
      <c r="A623" s="3"/>
      <c r="B623" s="3"/>
    </row>
    <row r="624" spans="1:2" ht="13" x14ac:dyDescent="0.15">
      <c r="A624" s="3"/>
      <c r="B624" s="3"/>
    </row>
    <row r="625" spans="1:2" ht="13" x14ac:dyDescent="0.15">
      <c r="A625" s="3"/>
      <c r="B625" s="3"/>
    </row>
    <row r="626" spans="1:2" ht="13" x14ac:dyDescent="0.15">
      <c r="A626" s="3"/>
      <c r="B626" s="3"/>
    </row>
    <row r="627" spans="1:2" ht="13" x14ac:dyDescent="0.15">
      <c r="A627" s="3"/>
      <c r="B627" s="3"/>
    </row>
    <row r="628" spans="1:2" ht="13" x14ac:dyDescent="0.15">
      <c r="A628" s="3"/>
      <c r="B628" s="3"/>
    </row>
    <row r="629" spans="1:2" ht="13" x14ac:dyDescent="0.15">
      <c r="A629" s="3"/>
      <c r="B629" s="3"/>
    </row>
    <row r="630" spans="1:2" ht="13" x14ac:dyDescent="0.15">
      <c r="A630" s="3"/>
      <c r="B630" s="3"/>
    </row>
    <row r="631" spans="1:2" ht="13" x14ac:dyDescent="0.15">
      <c r="A631" s="3"/>
      <c r="B631" s="3"/>
    </row>
    <row r="632" spans="1:2" ht="13" x14ac:dyDescent="0.15">
      <c r="A632" s="3"/>
      <c r="B632" s="3"/>
    </row>
    <row r="633" spans="1:2" ht="13" x14ac:dyDescent="0.15">
      <c r="A633" s="3"/>
      <c r="B633" s="3"/>
    </row>
    <row r="634" spans="1:2" ht="13" x14ac:dyDescent="0.15">
      <c r="A634" s="3"/>
      <c r="B634" s="3"/>
    </row>
    <row r="635" spans="1:2" ht="13" x14ac:dyDescent="0.15">
      <c r="A635" s="3"/>
      <c r="B635" s="3"/>
    </row>
    <row r="636" spans="1:2" ht="13" x14ac:dyDescent="0.15">
      <c r="A636" s="3"/>
      <c r="B636" s="3"/>
    </row>
    <row r="637" spans="1:2" ht="13" x14ac:dyDescent="0.15">
      <c r="A637" s="3"/>
      <c r="B637" s="3"/>
    </row>
    <row r="638" spans="1:2" ht="13" x14ac:dyDescent="0.15">
      <c r="A638" s="3"/>
      <c r="B638" s="3"/>
    </row>
    <row r="639" spans="1:2" ht="13" x14ac:dyDescent="0.15">
      <c r="A639" s="3"/>
      <c r="B639" s="3"/>
    </row>
    <row r="640" spans="1:2" ht="13" x14ac:dyDescent="0.15">
      <c r="A640" s="3"/>
      <c r="B640" s="3"/>
    </row>
    <row r="641" spans="1:2" ht="13" x14ac:dyDescent="0.15">
      <c r="A641" s="3"/>
      <c r="B641" s="3"/>
    </row>
    <row r="642" spans="1:2" ht="13" x14ac:dyDescent="0.15">
      <c r="A642" s="3"/>
      <c r="B642" s="3"/>
    </row>
    <row r="643" spans="1:2" ht="13" x14ac:dyDescent="0.15">
      <c r="A643" s="3"/>
      <c r="B643" s="3"/>
    </row>
    <row r="644" spans="1:2" ht="13" x14ac:dyDescent="0.15">
      <c r="A644" s="3"/>
      <c r="B644" s="3"/>
    </row>
    <row r="645" spans="1:2" ht="13" x14ac:dyDescent="0.15">
      <c r="A645" s="3"/>
      <c r="B645" s="3"/>
    </row>
    <row r="646" spans="1:2" ht="13" x14ac:dyDescent="0.15">
      <c r="A646" s="3"/>
      <c r="B646" s="3"/>
    </row>
    <row r="647" spans="1:2" ht="13" x14ac:dyDescent="0.15">
      <c r="A647" s="3"/>
      <c r="B647" s="3"/>
    </row>
    <row r="648" spans="1:2" ht="13" x14ac:dyDescent="0.15">
      <c r="A648" s="3"/>
      <c r="B648" s="3"/>
    </row>
    <row r="649" spans="1:2" ht="13" x14ac:dyDescent="0.15">
      <c r="A649" s="3"/>
      <c r="B649" s="3"/>
    </row>
    <row r="650" spans="1:2" ht="13" x14ac:dyDescent="0.15">
      <c r="A650" s="3"/>
      <c r="B650" s="3"/>
    </row>
    <row r="651" spans="1:2" ht="13" x14ac:dyDescent="0.15">
      <c r="A651" s="3"/>
      <c r="B651" s="3"/>
    </row>
    <row r="652" spans="1:2" ht="13" x14ac:dyDescent="0.15">
      <c r="A652" s="3"/>
      <c r="B652" s="3"/>
    </row>
    <row r="653" spans="1:2" ht="13" x14ac:dyDescent="0.15">
      <c r="A653" s="3"/>
      <c r="B653" s="3"/>
    </row>
    <row r="654" spans="1:2" ht="13" x14ac:dyDescent="0.15">
      <c r="A654" s="3"/>
      <c r="B654" s="3"/>
    </row>
    <row r="655" spans="1:2" ht="13" x14ac:dyDescent="0.15">
      <c r="A655" s="3"/>
      <c r="B655" s="3"/>
    </row>
    <row r="656" spans="1:2" ht="13" x14ac:dyDescent="0.15">
      <c r="A656" s="3"/>
      <c r="B656" s="3"/>
    </row>
    <row r="657" spans="1:2" ht="13" x14ac:dyDescent="0.15">
      <c r="A657" s="3"/>
      <c r="B657" s="3"/>
    </row>
    <row r="658" spans="1:2" ht="13" x14ac:dyDescent="0.15">
      <c r="A658" s="3"/>
      <c r="B658" s="3"/>
    </row>
    <row r="659" spans="1:2" ht="13" x14ac:dyDescent="0.15">
      <c r="A659" s="3"/>
      <c r="B659" s="3"/>
    </row>
    <row r="660" spans="1:2" ht="13" x14ac:dyDescent="0.15">
      <c r="A660" s="3"/>
      <c r="B660" s="3"/>
    </row>
    <row r="661" spans="1:2" ht="13" x14ac:dyDescent="0.15">
      <c r="A661" s="3"/>
      <c r="B661" s="3"/>
    </row>
    <row r="662" spans="1:2" ht="13" x14ac:dyDescent="0.15">
      <c r="A662" s="3"/>
      <c r="B662" s="3"/>
    </row>
    <row r="663" spans="1:2" ht="13" x14ac:dyDescent="0.15">
      <c r="A663" s="3"/>
      <c r="B663" s="3"/>
    </row>
    <row r="664" spans="1:2" ht="13" x14ac:dyDescent="0.15">
      <c r="A664" s="3"/>
      <c r="B664" s="3"/>
    </row>
    <row r="665" spans="1:2" ht="13" x14ac:dyDescent="0.15">
      <c r="A665" s="3"/>
      <c r="B665" s="3"/>
    </row>
    <row r="666" spans="1:2" ht="13" x14ac:dyDescent="0.15">
      <c r="A666" s="3"/>
      <c r="B666" s="3"/>
    </row>
    <row r="667" spans="1:2" ht="13" x14ac:dyDescent="0.15">
      <c r="A667" s="3"/>
      <c r="B667" s="3"/>
    </row>
    <row r="668" spans="1:2" ht="13" x14ac:dyDescent="0.15">
      <c r="A668" s="3"/>
      <c r="B668" s="3"/>
    </row>
    <row r="669" spans="1:2" ht="13" x14ac:dyDescent="0.15">
      <c r="A669" s="3"/>
      <c r="B669" s="3"/>
    </row>
    <row r="670" spans="1:2" ht="13" x14ac:dyDescent="0.15">
      <c r="A670" s="3"/>
      <c r="B670" s="3"/>
    </row>
    <row r="671" spans="1:2" ht="13" x14ac:dyDescent="0.15">
      <c r="A671" s="3"/>
      <c r="B671" s="3"/>
    </row>
    <row r="672" spans="1:2" ht="13" x14ac:dyDescent="0.15">
      <c r="A672" s="3"/>
      <c r="B672" s="3"/>
    </row>
    <row r="673" spans="1:2" ht="13" x14ac:dyDescent="0.15">
      <c r="A673" s="3"/>
      <c r="B673" s="3"/>
    </row>
    <row r="674" spans="1:2" ht="13" x14ac:dyDescent="0.15">
      <c r="A674" s="3"/>
      <c r="B674" s="3"/>
    </row>
    <row r="675" spans="1:2" ht="13" x14ac:dyDescent="0.15">
      <c r="A675" s="3"/>
      <c r="B675" s="3"/>
    </row>
    <row r="676" spans="1:2" ht="13" x14ac:dyDescent="0.15">
      <c r="A676" s="3"/>
      <c r="B676" s="3"/>
    </row>
    <row r="677" spans="1:2" ht="13" x14ac:dyDescent="0.15">
      <c r="A677" s="3"/>
      <c r="B677" s="3"/>
    </row>
    <row r="678" spans="1:2" ht="13" x14ac:dyDescent="0.15">
      <c r="A678" s="3"/>
      <c r="B678" s="3"/>
    </row>
    <row r="679" spans="1:2" ht="13" x14ac:dyDescent="0.15">
      <c r="A679" s="3"/>
      <c r="B679" s="3"/>
    </row>
    <row r="680" spans="1:2" ht="13" x14ac:dyDescent="0.15">
      <c r="A680" s="3"/>
      <c r="B680" s="3"/>
    </row>
    <row r="681" spans="1:2" ht="13" x14ac:dyDescent="0.15">
      <c r="A681" s="3"/>
      <c r="B681" s="3"/>
    </row>
    <row r="682" spans="1:2" ht="13" x14ac:dyDescent="0.15">
      <c r="A682" s="3"/>
      <c r="B682" s="3"/>
    </row>
    <row r="683" spans="1:2" ht="13" x14ac:dyDescent="0.15">
      <c r="A683" s="3"/>
      <c r="B683" s="3"/>
    </row>
    <row r="684" spans="1:2" ht="13" x14ac:dyDescent="0.15">
      <c r="A684" s="3"/>
      <c r="B684" s="3"/>
    </row>
    <row r="685" spans="1:2" ht="13" x14ac:dyDescent="0.15">
      <c r="A685" s="3"/>
      <c r="B685" s="3"/>
    </row>
    <row r="686" spans="1:2" ht="13" x14ac:dyDescent="0.15">
      <c r="A686" s="3"/>
      <c r="B686" s="3"/>
    </row>
    <row r="687" spans="1:2" ht="13" x14ac:dyDescent="0.15">
      <c r="A687" s="3"/>
      <c r="B687" s="3"/>
    </row>
    <row r="688" spans="1:2" ht="13" x14ac:dyDescent="0.15">
      <c r="A688" s="3"/>
      <c r="B688" s="3"/>
    </row>
    <row r="689" spans="1:2" ht="13" x14ac:dyDescent="0.15">
      <c r="A689" s="3"/>
      <c r="B689" s="3"/>
    </row>
    <row r="690" spans="1:2" ht="13" x14ac:dyDescent="0.15">
      <c r="A690" s="3"/>
      <c r="B690" s="3"/>
    </row>
    <row r="691" spans="1:2" ht="13" x14ac:dyDescent="0.15">
      <c r="A691" s="3"/>
      <c r="B691" s="3"/>
    </row>
    <row r="692" spans="1:2" ht="13" x14ac:dyDescent="0.15">
      <c r="A692" s="3"/>
      <c r="B692" s="3"/>
    </row>
    <row r="693" spans="1:2" ht="13" x14ac:dyDescent="0.15">
      <c r="A693" s="3"/>
      <c r="B693" s="3"/>
    </row>
    <row r="694" spans="1:2" ht="13" x14ac:dyDescent="0.15">
      <c r="A694" s="3"/>
      <c r="B694" s="3"/>
    </row>
    <row r="695" spans="1:2" ht="13" x14ac:dyDescent="0.15">
      <c r="A695" s="3"/>
      <c r="B695" s="3"/>
    </row>
    <row r="696" spans="1:2" ht="13" x14ac:dyDescent="0.15">
      <c r="A696" s="3"/>
      <c r="B696" s="3"/>
    </row>
    <row r="697" spans="1:2" ht="13" x14ac:dyDescent="0.15">
      <c r="A697" s="3"/>
      <c r="B697" s="3"/>
    </row>
    <row r="698" spans="1:2" ht="13" x14ac:dyDescent="0.15">
      <c r="A698" s="3"/>
      <c r="B698" s="3"/>
    </row>
    <row r="699" spans="1:2" ht="13" x14ac:dyDescent="0.15">
      <c r="A699" s="3"/>
      <c r="B699" s="3"/>
    </row>
    <row r="700" spans="1:2" ht="13" x14ac:dyDescent="0.15">
      <c r="A700" s="3"/>
      <c r="B700" s="3"/>
    </row>
    <row r="701" spans="1:2" ht="13" x14ac:dyDescent="0.15">
      <c r="A701" s="3"/>
      <c r="B701" s="3"/>
    </row>
    <row r="702" spans="1:2" ht="13" x14ac:dyDescent="0.15">
      <c r="A702" s="3"/>
      <c r="B702" s="3"/>
    </row>
    <row r="703" spans="1:2" ht="13" x14ac:dyDescent="0.15">
      <c r="A703" s="3"/>
      <c r="B703" s="3"/>
    </row>
    <row r="704" spans="1:2" ht="13" x14ac:dyDescent="0.15">
      <c r="A704" s="3"/>
      <c r="B704" s="3"/>
    </row>
    <row r="705" spans="1:2" ht="13" x14ac:dyDescent="0.15">
      <c r="A705" s="3"/>
      <c r="B705" s="3"/>
    </row>
    <row r="706" spans="1:2" ht="13" x14ac:dyDescent="0.15">
      <c r="A706" s="3"/>
      <c r="B706" s="3"/>
    </row>
    <row r="707" spans="1:2" ht="13" x14ac:dyDescent="0.15">
      <c r="A707" s="3"/>
      <c r="B707" s="3"/>
    </row>
    <row r="708" spans="1:2" ht="13" x14ac:dyDescent="0.15">
      <c r="A708" s="3"/>
      <c r="B708" s="3"/>
    </row>
    <row r="709" spans="1:2" ht="13" x14ac:dyDescent="0.15">
      <c r="A709" s="3"/>
      <c r="B709" s="3"/>
    </row>
    <row r="710" spans="1:2" ht="13" x14ac:dyDescent="0.15">
      <c r="A710" s="3"/>
      <c r="B710" s="3"/>
    </row>
    <row r="711" spans="1:2" ht="13" x14ac:dyDescent="0.15">
      <c r="A711" s="3"/>
      <c r="B711" s="3"/>
    </row>
    <row r="712" spans="1:2" ht="13" x14ac:dyDescent="0.15">
      <c r="A712" s="3"/>
      <c r="B712" s="3"/>
    </row>
    <row r="713" spans="1:2" ht="13" x14ac:dyDescent="0.15">
      <c r="A713" s="3"/>
      <c r="B713" s="3"/>
    </row>
    <row r="714" spans="1:2" ht="13" x14ac:dyDescent="0.15">
      <c r="A714" s="3"/>
      <c r="B714" s="3"/>
    </row>
    <row r="715" spans="1:2" ht="13" x14ac:dyDescent="0.15">
      <c r="A715" s="3"/>
      <c r="B715" s="3"/>
    </row>
    <row r="716" spans="1:2" ht="13" x14ac:dyDescent="0.15">
      <c r="A716" s="3"/>
      <c r="B716" s="3"/>
    </row>
    <row r="717" spans="1:2" ht="13" x14ac:dyDescent="0.15">
      <c r="A717" s="3"/>
      <c r="B717" s="3"/>
    </row>
    <row r="718" spans="1:2" ht="13" x14ac:dyDescent="0.15">
      <c r="A718" s="3"/>
      <c r="B718" s="3"/>
    </row>
    <row r="719" spans="1:2" ht="13" x14ac:dyDescent="0.15">
      <c r="A719" s="3"/>
      <c r="B719" s="3"/>
    </row>
    <row r="720" spans="1:2" ht="13" x14ac:dyDescent="0.15">
      <c r="A720" s="3"/>
      <c r="B720" s="3"/>
    </row>
    <row r="721" spans="1:2" ht="13" x14ac:dyDescent="0.15">
      <c r="A721" s="3"/>
      <c r="B721" s="3"/>
    </row>
    <row r="722" spans="1:2" ht="13" x14ac:dyDescent="0.15">
      <c r="A722" s="3"/>
      <c r="B722" s="3"/>
    </row>
    <row r="723" spans="1:2" ht="13" x14ac:dyDescent="0.15">
      <c r="A723" s="3"/>
      <c r="B723" s="3"/>
    </row>
    <row r="724" spans="1:2" ht="13" x14ac:dyDescent="0.15">
      <c r="A724" s="3"/>
      <c r="B724" s="3"/>
    </row>
    <row r="725" spans="1:2" ht="13" x14ac:dyDescent="0.15">
      <c r="A725" s="3"/>
      <c r="B725" s="3"/>
    </row>
    <row r="726" spans="1:2" ht="13" x14ac:dyDescent="0.15">
      <c r="A726" s="3"/>
      <c r="B726" s="3"/>
    </row>
    <row r="727" spans="1:2" ht="13" x14ac:dyDescent="0.15">
      <c r="A727" s="3"/>
      <c r="B727" s="3"/>
    </row>
    <row r="728" spans="1:2" ht="13" x14ac:dyDescent="0.15">
      <c r="A728" s="3"/>
      <c r="B728" s="3"/>
    </row>
    <row r="729" spans="1:2" ht="13" x14ac:dyDescent="0.15">
      <c r="A729" s="3"/>
      <c r="B729" s="3"/>
    </row>
    <row r="730" spans="1:2" ht="13" x14ac:dyDescent="0.15">
      <c r="A730" s="3"/>
      <c r="B730" s="3"/>
    </row>
    <row r="731" spans="1:2" ht="13" x14ac:dyDescent="0.15">
      <c r="A731" s="3"/>
      <c r="B731" s="3"/>
    </row>
    <row r="732" spans="1:2" ht="13" x14ac:dyDescent="0.15">
      <c r="A732" s="3"/>
      <c r="B732" s="3"/>
    </row>
    <row r="733" spans="1:2" ht="13" x14ac:dyDescent="0.15">
      <c r="A733" s="3"/>
      <c r="B733" s="3"/>
    </row>
    <row r="734" spans="1:2" ht="13" x14ac:dyDescent="0.15">
      <c r="A734" s="3"/>
      <c r="B734" s="3"/>
    </row>
    <row r="735" spans="1:2" ht="13" x14ac:dyDescent="0.15">
      <c r="A735" s="3"/>
      <c r="B735" s="3"/>
    </row>
    <row r="736" spans="1:2" ht="13" x14ac:dyDescent="0.15">
      <c r="A736" s="3"/>
      <c r="B736" s="3"/>
    </row>
    <row r="737" spans="1:2" ht="13" x14ac:dyDescent="0.15">
      <c r="A737" s="3"/>
      <c r="B737" s="3"/>
    </row>
    <row r="738" spans="1:2" ht="13" x14ac:dyDescent="0.15">
      <c r="A738" s="3"/>
      <c r="B738" s="3"/>
    </row>
    <row r="739" spans="1:2" ht="13" x14ac:dyDescent="0.15">
      <c r="A739" s="3"/>
      <c r="B739" s="3"/>
    </row>
    <row r="740" spans="1:2" ht="13" x14ac:dyDescent="0.15">
      <c r="A740" s="3"/>
      <c r="B740" s="3"/>
    </row>
    <row r="741" spans="1:2" ht="13" x14ac:dyDescent="0.15">
      <c r="A741" s="3"/>
      <c r="B741" s="3"/>
    </row>
    <row r="742" spans="1:2" ht="13" x14ac:dyDescent="0.15">
      <c r="A742" s="3"/>
      <c r="B742" s="3"/>
    </row>
    <row r="743" spans="1:2" ht="13" x14ac:dyDescent="0.15">
      <c r="A743" s="3"/>
      <c r="B743" s="3"/>
    </row>
    <row r="744" spans="1:2" ht="13" x14ac:dyDescent="0.15">
      <c r="A744" s="3"/>
      <c r="B744" s="3"/>
    </row>
    <row r="745" spans="1:2" ht="13" x14ac:dyDescent="0.15">
      <c r="A745" s="3"/>
      <c r="B745" s="3"/>
    </row>
    <row r="746" spans="1:2" ht="13" x14ac:dyDescent="0.15">
      <c r="A746" s="3"/>
      <c r="B746" s="3"/>
    </row>
    <row r="747" spans="1:2" ht="13" x14ac:dyDescent="0.15">
      <c r="A747" s="3"/>
      <c r="B747" s="3"/>
    </row>
    <row r="748" spans="1:2" ht="13" x14ac:dyDescent="0.15">
      <c r="A748" s="3"/>
      <c r="B748" s="3"/>
    </row>
    <row r="749" spans="1:2" ht="13" x14ac:dyDescent="0.15">
      <c r="A749" s="3"/>
      <c r="B749" s="3"/>
    </row>
    <row r="750" spans="1:2" ht="13" x14ac:dyDescent="0.15">
      <c r="A750" s="3"/>
      <c r="B750" s="3"/>
    </row>
    <row r="751" spans="1:2" ht="13" x14ac:dyDescent="0.15">
      <c r="A751" s="3"/>
      <c r="B751" s="3"/>
    </row>
    <row r="752" spans="1:2" ht="13" x14ac:dyDescent="0.15">
      <c r="A752" s="3"/>
      <c r="B752" s="3"/>
    </row>
    <row r="753" spans="1:2" ht="13" x14ac:dyDescent="0.15">
      <c r="A753" s="3"/>
      <c r="B753" s="3"/>
    </row>
    <row r="754" spans="1:2" ht="13" x14ac:dyDescent="0.15">
      <c r="A754" s="3"/>
      <c r="B754" s="3"/>
    </row>
    <row r="755" spans="1:2" ht="13" x14ac:dyDescent="0.15">
      <c r="A755" s="3"/>
      <c r="B755" s="3"/>
    </row>
    <row r="756" spans="1:2" ht="13" x14ac:dyDescent="0.15">
      <c r="A756" s="3"/>
      <c r="B756" s="3"/>
    </row>
    <row r="757" spans="1:2" ht="13" x14ac:dyDescent="0.15">
      <c r="A757" s="3"/>
      <c r="B757" s="3"/>
    </row>
    <row r="758" spans="1:2" ht="13" x14ac:dyDescent="0.15">
      <c r="A758" s="3"/>
      <c r="B758" s="3"/>
    </row>
    <row r="759" spans="1:2" ht="13" x14ac:dyDescent="0.15">
      <c r="A759" s="3"/>
      <c r="B759" s="3"/>
    </row>
    <row r="760" spans="1:2" ht="13" x14ac:dyDescent="0.15">
      <c r="A760" s="3"/>
      <c r="B760" s="3"/>
    </row>
    <row r="761" spans="1:2" ht="13" x14ac:dyDescent="0.15">
      <c r="A761" s="3"/>
      <c r="B761" s="3"/>
    </row>
    <row r="762" spans="1:2" ht="13" x14ac:dyDescent="0.15">
      <c r="A762" s="3"/>
      <c r="B762" s="3"/>
    </row>
    <row r="763" spans="1:2" ht="13" x14ac:dyDescent="0.15">
      <c r="A763" s="3"/>
      <c r="B763" s="3"/>
    </row>
    <row r="764" spans="1:2" ht="13" x14ac:dyDescent="0.15">
      <c r="A764" s="3"/>
      <c r="B764" s="3"/>
    </row>
    <row r="765" spans="1:2" ht="13" x14ac:dyDescent="0.15">
      <c r="A765" s="3"/>
      <c r="B765" s="3"/>
    </row>
    <row r="766" spans="1:2" ht="13" x14ac:dyDescent="0.15">
      <c r="A766" s="3"/>
      <c r="B766" s="3"/>
    </row>
    <row r="767" spans="1:2" ht="13" x14ac:dyDescent="0.15">
      <c r="A767" s="3"/>
      <c r="B767" s="3"/>
    </row>
    <row r="768" spans="1:2" ht="13" x14ac:dyDescent="0.15">
      <c r="A768" s="3"/>
      <c r="B768" s="3"/>
    </row>
    <row r="769" spans="1:2" ht="13" x14ac:dyDescent="0.15">
      <c r="A769" s="3"/>
      <c r="B769" s="3"/>
    </row>
    <row r="770" spans="1:2" ht="13" x14ac:dyDescent="0.15">
      <c r="A770" s="3"/>
      <c r="B770" s="3"/>
    </row>
    <row r="771" spans="1:2" ht="13" x14ac:dyDescent="0.15">
      <c r="A771" s="3"/>
      <c r="B771" s="3"/>
    </row>
    <row r="772" spans="1:2" ht="13" x14ac:dyDescent="0.15">
      <c r="A772" s="3"/>
      <c r="B772" s="3"/>
    </row>
    <row r="773" spans="1:2" ht="13" x14ac:dyDescent="0.15">
      <c r="A773" s="3"/>
      <c r="B773" s="3"/>
    </row>
    <row r="774" spans="1:2" ht="13" x14ac:dyDescent="0.15">
      <c r="A774" s="3"/>
      <c r="B774" s="3"/>
    </row>
    <row r="775" spans="1:2" ht="13" x14ac:dyDescent="0.15">
      <c r="A775" s="3"/>
      <c r="B775" s="3"/>
    </row>
    <row r="776" spans="1:2" ht="13" x14ac:dyDescent="0.15">
      <c r="A776" s="3"/>
      <c r="B776" s="3"/>
    </row>
    <row r="777" spans="1:2" ht="13" x14ac:dyDescent="0.15">
      <c r="A777" s="3"/>
      <c r="B777" s="3"/>
    </row>
    <row r="778" spans="1:2" ht="13" x14ac:dyDescent="0.15">
      <c r="A778" s="3"/>
      <c r="B778" s="3"/>
    </row>
    <row r="779" spans="1:2" ht="13" x14ac:dyDescent="0.15">
      <c r="A779" s="3"/>
      <c r="B779" s="3"/>
    </row>
    <row r="780" spans="1:2" ht="13" x14ac:dyDescent="0.15">
      <c r="A780" s="3"/>
      <c r="B780" s="3"/>
    </row>
    <row r="781" spans="1:2" ht="13" x14ac:dyDescent="0.15">
      <c r="A781" s="3"/>
      <c r="B781" s="3"/>
    </row>
    <row r="782" spans="1:2" ht="13" x14ac:dyDescent="0.15">
      <c r="A782" s="3"/>
      <c r="B782" s="3"/>
    </row>
    <row r="783" spans="1:2" ht="13" x14ac:dyDescent="0.15">
      <c r="A783" s="3"/>
      <c r="B783" s="3"/>
    </row>
    <row r="784" spans="1:2" ht="13" x14ac:dyDescent="0.15">
      <c r="A784" s="3"/>
      <c r="B784" s="3"/>
    </row>
    <row r="785" spans="1:2" ht="13" x14ac:dyDescent="0.15">
      <c r="A785" s="3"/>
      <c r="B785" s="3"/>
    </row>
    <row r="786" spans="1:2" ht="13" x14ac:dyDescent="0.15">
      <c r="A786" s="3"/>
      <c r="B786" s="3"/>
    </row>
    <row r="787" spans="1:2" ht="13" x14ac:dyDescent="0.15">
      <c r="A787" s="3"/>
      <c r="B787" s="3"/>
    </row>
    <row r="788" spans="1:2" ht="13" x14ac:dyDescent="0.15">
      <c r="A788" s="3"/>
      <c r="B788" s="3"/>
    </row>
    <row r="789" spans="1:2" ht="13" x14ac:dyDescent="0.15">
      <c r="A789" s="3"/>
      <c r="B789" s="3"/>
    </row>
    <row r="790" spans="1:2" ht="13" x14ac:dyDescent="0.15">
      <c r="A790" s="3"/>
      <c r="B790" s="3"/>
    </row>
    <row r="791" spans="1:2" ht="13" x14ac:dyDescent="0.15">
      <c r="A791" s="3"/>
      <c r="B791" s="3"/>
    </row>
    <row r="792" spans="1:2" ht="13" x14ac:dyDescent="0.15">
      <c r="A792" s="3"/>
      <c r="B792" s="3"/>
    </row>
    <row r="793" spans="1:2" ht="13" x14ac:dyDescent="0.15">
      <c r="A793" s="3"/>
      <c r="B793" s="3"/>
    </row>
    <row r="794" spans="1:2" ht="13" x14ac:dyDescent="0.15">
      <c r="A794" s="3"/>
      <c r="B794" s="3"/>
    </row>
    <row r="795" spans="1:2" ht="13" x14ac:dyDescent="0.15">
      <c r="A795" s="3"/>
      <c r="B795" s="3"/>
    </row>
    <row r="796" spans="1:2" ht="13" x14ac:dyDescent="0.15">
      <c r="A796" s="3"/>
      <c r="B796" s="3"/>
    </row>
    <row r="797" spans="1:2" ht="13" x14ac:dyDescent="0.15">
      <c r="A797" s="3"/>
      <c r="B797" s="3"/>
    </row>
    <row r="798" spans="1:2" ht="13" x14ac:dyDescent="0.15">
      <c r="A798" s="3"/>
      <c r="B798" s="3"/>
    </row>
    <row r="799" spans="1:2" ht="13" x14ac:dyDescent="0.15">
      <c r="A799" s="3"/>
      <c r="B799" s="3"/>
    </row>
    <row r="800" spans="1:2" ht="13" x14ac:dyDescent="0.15">
      <c r="A800" s="3"/>
      <c r="B800" s="3"/>
    </row>
    <row r="801" spans="1:2" ht="13" x14ac:dyDescent="0.15">
      <c r="A801" s="3"/>
      <c r="B801" s="3"/>
    </row>
    <row r="802" spans="1:2" ht="13" x14ac:dyDescent="0.15">
      <c r="A802" s="3"/>
      <c r="B802" s="3"/>
    </row>
    <row r="803" spans="1:2" ht="13" x14ac:dyDescent="0.15">
      <c r="A803" s="3"/>
      <c r="B803" s="3"/>
    </row>
    <row r="804" spans="1:2" ht="13" x14ac:dyDescent="0.15">
      <c r="A804" s="3"/>
      <c r="B804" s="3"/>
    </row>
    <row r="805" spans="1:2" ht="13" x14ac:dyDescent="0.15">
      <c r="A805" s="3"/>
      <c r="B805" s="3"/>
    </row>
    <row r="806" spans="1:2" ht="13" x14ac:dyDescent="0.15">
      <c r="A806" s="3"/>
      <c r="B806" s="3"/>
    </row>
    <row r="807" spans="1:2" ht="13" x14ac:dyDescent="0.15">
      <c r="A807" s="3"/>
      <c r="B807" s="3"/>
    </row>
    <row r="808" spans="1:2" ht="13" x14ac:dyDescent="0.15">
      <c r="A808" s="3"/>
      <c r="B808" s="3"/>
    </row>
    <row r="809" spans="1:2" ht="13" x14ac:dyDescent="0.15">
      <c r="A809" s="3"/>
      <c r="B809" s="3"/>
    </row>
    <row r="810" spans="1:2" ht="13" x14ac:dyDescent="0.15">
      <c r="A810" s="3"/>
      <c r="B810" s="3"/>
    </row>
    <row r="811" spans="1:2" ht="13" x14ac:dyDescent="0.15">
      <c r="A811" s="3"/>
      <c r="B811" s="3"/>
    </row>
    <row r="812" spans="1:2" ht="13" x14ac:dyDescent="0.15">
      <c r="A812" s="3"/>
      <c r="B812" s="3"/>
    </row>
    <row r="813" spans="1:2" ht="13" x14ac:dyDescent="0.15">
      <c r="A813" s="3"/>
      <c r="B813" s="3"/>
    </row>
    <row r="814" spans="1:2" ht="13" x14ac:dyDescent="0.15">
      <c r="A814" s="3"/>
      <c r="B814" s="3"/>
    </row>
    <row r="815" spans="1:2" ht="13" x14ac:dyDescent="0.15">
      <c r="A815" s="3"/>
      <c r="B815" s="3"/>
    </row>
    <row r="816" spans="1:2" ht="13" x14ac:dyDescent="0.15">
      <c r="A816" s="3"/>
      <c r="B816" s="3"/>
    </row>
    <row r="817" spans="1:2" ht="13" x14ac:dyDescent="0.15">
      <c r="A817" s="3"/>
      <c r="B817" s="3"/>
    </row>
    <row r="818" spans="1:2" ht="13" x14ac:dyDescent="0.15">
      <c r="A818" s="3"/>
      <c r="B818" s="3"/>
    </row>
    <row r="819" spans="1:2" ht="13" x14ac:dyDescent="0.15">
      <c r="A819" s="3"/>
      <c r="B819" s="3"/>
    </row>
    <row r="820" spans="1:2" ht="13" x14ac:dyDescent="0.15">
      <c r="A820" s="3"/>
      <c r="B820" s="3"/>
    </row>
    <row r="821" spans="1:2" ht="13" x14ac:dyDescent="0.15">
      <c r="A821" s="3"/>
      <c r="B821" s="3"/>
    </row>
    <row r="822" spans="1:2" ht="13" x14ac:dyDescent="0.15">
      <c r="A822" s="3"/>
      <c r="B822" s="3"/>
    </row>
    <row r="823" spans="1:2" ht="13" x14ac:dyDescent="0.15">
      <c r="A823" s="3"/>
      <c r="B823" s="3"/>
    </row>
    <row r="824" spans="1:2" ht="13" x14ac:dyDescent="0.15">
      <c r="A824" s="3"/>
      <c r="B824" s="3"/>
    </row>
    <row r="825" spans="1:2" ht="13" x14ac:dyDescent="0.15">
      <c r="A825" s="3"/>
      <c r="B825" s="3"/>
    </row>
    <row r="826" spans="1:2" ht="13" x14ac:dyDescent="0.15">
      <c r="A826" s="3"/>
      <c r="B826" s="3"/>
    </row>
    <row r="827" spans="1:2" ht="13" x14ac:dyDescent="0.15">
      <c r="A827" s="3"/>
      <c r="B827" s="3"/>
    </row>
    <row r="828" spans="1:2" ht="13" x14ac:dyDescent="0.15">
      <c r="A828" s="3"/>
      <c r="B828" s="3"/>
    </row>
    <row r="829" spans="1:2" ht="13" x14ac:dyDescent="0.15">
      <c r="A829" s="3"/>
      <c r="B829" s="3"/>
    </row>
    <row r="830" spans="1:2" ht="13" x14ac:dyDescent="0.15">
      <c r="A830" s="3"/>
      <c r="B830" s="3"/>
    </row>
    <row r="831" spans="1:2" ht="13" x14ac:dyDescent="0.15">
      <c r="A831" s="3"/>
      <c r="B831" s="3"/>
    </row>
    <row r="832" spans="1:2" ht="13" x14ac:dyDescent="0.15">
      <c r="A832" s="3"/>
      <c r="B832" s="3"/>
    </row>
    <row r="833" spans="1:2" ht="13" x14ac:dyDescent="0.15">
      <c r="A833" s="3"/>
      <c r="B833" s="3"/>
    </row>
    <row r="834" spans="1:2" ht="13" x14ac:dyDescent="0.15">
      <c r="A834" s="3"/>
      <c r="B834" s="3"/>
    </row>
    <row r="835" spans="1:2" ht="13" x14ac:dyDescent="0.15">
      <c r="A835" s="3"/>
      <c r="B835" s="3"/>
    </row>
    <row r="836" spans="1:2" ht="13" x14ac:dyDescent="0.15">
      <c r="A836" s="3"/>
      <c r="B836" s="3"/>
    </row>
    <row r="837" spans="1:2" ht="13" x14ac:dyDescent="0.15">
      <c r="A837" s="3"/>
      <c r="B837" s="3"/>
    </row>
    <row r="838" spans="1:2" ht="13" x14ac:dyDescent="0.15">
      <c r="A838" s="3"/>
      <c r="B838" s="3"/>
    </row>
    <row r="839" spans="1:2" ht="13" x14ac:dyDescent="0.15">
      <c r="A839" s="3"/>
      <c r="B839" s="3"/>
    </row>
    <row r="840" spans="1:2" ht="13" x14ac:dyDescent="0.15">
      <c r="A840" s="3"/>
      <c r="B840" s="3"/>
    </row>
    <row r="841" spans="1:2" ht="13" x14ac:dyDescent="0.15">
      <c r="A841" s="3"/>
      <c r="B841" s="3"/>
    </row>
    <row r="842" spans="1:2" ht="13" x14ac:dyDescent="0.15">
      <c r="A842" s="3"/>
      <c r="B842" s="3"/>
    </row>
    <row r="843" spans="1:2" ht="13" x14ac:dyDescent="0.15">
      <c r="A843" s="3"/>
      <c r="B843" s="3"/>
    </row>
    <row r="844" spans="1:2" ht="13" x14ac:dyDescent="0.15">
      <c r="A844" s="3"/>
      <c r="B844" s="3"/>
    </row>
    <row r="845" spans="1:2" ht="13" x14ac:dyDescent="0.15">
      <c r="A845" s="3"/>
      <c r="B845" s="3"/>
    </row>
    <row r="846" spans="1:2" ht="13" x14ac:dyDescent="0.15">
      <c r="A846" s="3"/>
      <c r="B846" s="3"/>
    </row>
    <row r="847" spans="1:2" ht="13" x14ac:dyDescent="0.15">
      <c r="A847" s="3"/>
      <c r="B847" s="3"/>
    </row>
    <row r="848" spans="1:2" ht="13" x14ac:dyDescent="0.15">
      <c r="A848" s="3"/>
      <c r="B848" s="3"/>
    </row>
    <row r="849" spans="1:2" ht="13" x14ac:dyDescent="0.15">
      <c r="A849" s="3"/>
      <c r="B849" s="3"/>
    </row>
    <row r="850" spans="1:2" ht="13" x14ac:dyDescent="0.15">
      <c r="A850" s="3"/>
      <c r="B850" s="3"/>
    </row>
    <row r="851" spans="1:2" ht="13" x14ac:dyDescent="0.15">
      <c r="A851" s="3"/>
      <c r="B851" s="3"/>
    </row>
    <row r="852" spans="1:2" ht="13" x14ac:dyDescent="0.15">
      <c r="A852" s="3"/>
      <c r="B852" s="3"/>
    </row>
    <row r="853" spans="1:2" ht="13" x14ac:dyDescent="0.15">
      <c r="A853" s="3"/>
      <c r="B853" s="3"/>
    </row>
    <row r="854" spans="1:2" ht="13" x14ac:dyDescent="0.15">
      <c r="A854" s="3"/>
      <c r="B854" s="3"/>
    </row>
    <row r="855" spans="1:2" ht="13" x14ac:dyDescent="0.15">
      <c r="A855" s="3"/>
      <c r="B855" s="3"/>
    </row>
    <row r="856" spans="1:2" ht="13" x14ac:dyDescent="0.15">
      <c r="A856" s="3"/>
      <c r="B856" s="3"/>
    </row>
    <row r="857" spans="1:2" ht="13" x14ac:dyDescent="0.15">
      <c r="A857" s="3"/>
      <c r="B857" s="3"/>
    </row>
    <row r="858" spans="1:2" ht="13" x14ac:dyDescent="0.15">
      <c r="A858" s="3"/>
      <c r="B858" s="3"/>
    </row>
    <row r="859" spans="1:2" ht="13" x14ac:dyDescent="0.15">
      <c r="A859" s="3"/>
      <c r="B859" s="3"/>
    </row>
    <row r="860" spans="1:2" ht="13" x14ac:dyDescent="0.15">
      <c r="A860" s="3"/>
      <c r="B860" s="3"/>
    </row>
    <row r="861" spans="1:2" ht="13" x14ac:dyDescent="0.15">
      <c r="A861" s="3"/>
      <c r="B861" s="3"/>
    </row>
    <row r="862" spans="1:2" ht="13" x14ac:dyDescent="0.15">
      <c r="A862" s="3"/>
      <c r="B862" s="3"/>
    </row>
    <row r="863" spans="1:2" ht="13" x14ac:dyDescent="0.15">
      <c r="A863" s="3"/>
      <c r="B863" s="3"/>
    </row>
    <row r="864" spans="1:2" ht="13" x14ac:dyDescent="0.15">
      <c r="A864" s="3"/>
      <c r="B864" s="3"/>
    </row>
    <row r="865" spans="1:2" ht="13" x14ac:dyDescent="0.15">
      <c r="A865" s="3"/>
      <c r="B865" s="3"/>
    </row>
    <row r="866" spans="1:2" ht="13" x14ac:dyDescent="0.15">
      <c r="A866" s="3"/>
      <c r="B866" s="3"/>
    </row>
    <row r="867" spans="1:2" ht="13" x14ac:dyDescent="0.15">
      <c r="A867" s="3"/>
      <c r="B867" s="3"/>
    </row>
    <row r="868" spans="1:2" ht="13" x14ac:dyDescent="0.15">
      <c r="A868" s="3"/>
      <c r="B868" s="3"/>
    </row>
    <row r="869" spans="1:2" ht="13" x14ac:dyDescent="0.15">
      <c r="A869" s="3"/>
      <c r="B869" s="3"/>
    </row>
    <row r="870" spans="1:2" ht="13" x14ac:dyDescent="0.15">
      <c r="A870" s="3"/>
      <c r="B870" s="3"/>
    </row>
    <row r="871" spans="1:2" ht="13" x14ac:dyDescent="0.15">
      <c r="A871" s="3"/>
      <c r="B871" s="3"/>
    </row>
    <row r="872" spans="1:2" ht="13" x14ac:dyDescent="0.15">
      <c r="A872" s="3"/>
      <c r="B872" s="3"/>
    </row>
    <row r="873" spans="1:2" ht="13" x14ac:dyDescent="0.15">
      <c r="A873" s="3"/>
      <c r="B873" s="3"/>
    </row>
    <row r="874" spans="1:2" ht="13" x14ac:dyDescent="0.15">
      <c r="A874" s="3"/>
      <c r="B874" s="3"/>
    </row>
    <row r="875" spans="1:2" ht="13" x14ac:dyDescent="0.15">
      <c r="A875" s="3"/>
      <c r="B875" s="3"/>
    </row>
    <row r="876" spans="1:2" ht="13" x14ac:dyDescent="0.15">
      <c r="A876" s="3"/>
      <c r="B876" s="3"/>
    </row>
    <row r="877" spans="1:2" ht="13" x14ac:dyDescent="0.15">
      <c r="A877" s="3"/>
      <c r="B877" s="3"/>
    </row>
    <row r="878" spans="1:2" ht="13" x14ac:dyDescent="0.15">
      <c r="A878" s="3"/>
      <c r="B878" s="3"/>
    </row>
    <row r="879" spans="1:2" ht="13" x14ac:dyDescent="0.15">
      <c r="A879" s="3"/>
      <c r="B879" s="3"/>
    </row>
    <row r="880" spans="1:2" ht="13" x14ac:dyDescent="0.15">
      <c r="A880" s="3"/>
      <c r="B880" s="3"/>
    </row>
    <row r="881" spans="1:2" ht="13" x14ac:dyDescent="0.15">
      <c r="A881" s="3"/>
      <c r="B881" s="3"/>
    </row>
    <row r="882" spans="1:2" ht="13" x14ac:dyDescent="0.15">
      <c r="A882" s="3"/>
      <c r="B882" s="3"/>
    </row>
    <row r="883" spans="1:2" ht="13" x14ac:dyDescent="0.15">
      <c r="A883" s="3"/>
      <c r="B883" s="3"/>
    </row>
    <row r="884" spans="1:2" ht="13" x14ac:dyDescent="0.15">
      <c r="A884" s="3"/>
      <c r="B884" s="3"/>
    </row>
    <row r="885" spans="1:2" ht="13" x14ac:dyDescent="0.15">
      <c r="A885" s="3"/>
      <c r="B885" s="3"/>
    </row>
    <row r="886" spans="1:2" ht="13" x14ac:dyDescent="0.15">
      <c r="A886" s="3"/>
      <c r="B886" s="3"/>
    </row>
    <row r="887" spans="1:2" ht="13" x14ac:dyDescent="0.15">
      <c r="A887" s="3"/>
      <c r="B887" s="3"/>
    </row>
    <row r="888" spans="1:2" ht="13" x14ac:dyDescent="0.15">
      <c r="A888" s="3"/>
      <c r="B888" s="3"/>
    </row>
    <row r="889" spans="1:2" ht="13" x14ac:dyDescent="0.15">
      <c r="A889" s="3"/>
      <c r="B889" s="3"/>
    </row>
    <row r="890" spans="1:2" ht="13" x14ac:dyDescent="0.15">
      <c r="A890" s="3"/>
      <c r="B890" s="3"/>
    </row>
    <row r="891" spans="1:2" ht="13" x14ac:dyDescent="0.15">
      <c r="A891" s="3"/>
      <c r="B891" s="3"/>
    </row>
    <row r="892" spans="1:2" ht="13" x14ac:dyDescent="0.15">
      <c r="A892" s="3"/>
      <c r="B892" s="3"/>
    </row>
    <row r="893" spans="1:2" ht="13" x14ac:dyDescent="0.15">
      <c r="A893" s="3"/>
      <c r="B893" s="3"/>
    </row>
    <row r="894" spans="1:2" ht="13" x14ac:dyDescent="0.15">
      <c r="A894" s="3"/>
      <c r="B894" s="3"/>
    </row>
    <row r="895" spans="1:2" ht="13" x14ac:dyDescent="0.15">
      <c r="A895" s="3"/>
      <c r="B895" s="3"/>
    </row>
    <row r="896" spans="1:2" ht="13" x14ac:dyDescent="0.15">
      <c r="A896" s="3"/>
      <c r="B896" s="3"/>
    </row>
    <row r="897" spans="1:2" ht="13" x14ac:dyDescent="0.15">
      <c r="A897" s="3"/>
      <c r="B897" s="3"/>
    </row>
    <row r="898" spans="1:2" ht="13" x14ac:dyDescent="0.15">
      <c r="A898" s="3"/>
      <c r="B898" s="3"/>
    </row>
    <row r="899" spans="1:2" ht="13" x14ac:dyDescent="0.15">
      <c r="A899" s="3"/>
      <c r="B899" s="3"/>
    </row>
    <row r="900" spans="1:2" ht="13" x14ac:dyDescent="0.15">
      <c r="A900" s="3"/>
      <c r="B900" s="3"/>
    </row>
    <row r="901" spans="1:2" ht="13" x14ac:dyDescent="0.15">
      <c r="A901" s="3"/>
      <c r="B901" s="3"/>
    </row>
    <row r="902" spans="1:2" ht="13" x14ac:dyDescent="0.15">
      <c r="A902" s="3"/>
      <c r="B902" s="3"/>
    </row>
    <row r="903" spans="1:2" ht="13" x14ac:dyDescent="0.15">
      <c r="A903" s="3"/>
      <c r="B903" s="3"/>
    </row>
    <row r="904" spans="1:2" ht="13" x14ac:dyDescent="0.15">
      <c r="A904" s="3"/>
      <c r="B904" s="3"/>
    </row>
    <row r="905" spans="1:2" ht="13" x14ac:dyDescent="0.15">
      <c r="A905" s="3"/>
      <c r="B905" s="3"/>
    </row>
    <row r="906" spans="1:2" ht="13" x14ac:dyDescent="0.15">
      <c r="A906" s="3"/>
      <c r="B906" s="3"/>
    </row>
    <row r="907" spans="1:2" ht="13" x14ac:dyDescent="0.15">
      <c r="A907" s="3"/>
      <c r="B907" s="3"/>
    </row>
    <row r="908" spans="1:2" ht="13" x14ac:dyDescent="0.15">
      <c r="A908" s="3"/>
      <c r="B908" s="3"/>
    </row>
    <row r="909" spans="1:2" ht="13" x14ac:dyDescent="0.15">
      <c r="A909" s="3"/>
      <c r="B909" s="3"/>
    </row>
    <row r="910" spans="1:2" ht="13" x14ac:dyDescent="0.15">
      <c r="A910" s="3"/>
      <c r="B910" s="3"/>
    </row>
    <row r="911" spans="1:2" ht="13" x14ac:dyDescent="0.15">
      <c r="A911" s="3"/>
      <c r="B911" s="3"/>
    </row>
    <row r="912" spans="1:2" ht="13" x14ac:dyDescent="0.15">
      <c r="A912" s="3"/>
      <c r="B912" s="3"/>
    </row>
    <row r="913" spans="1:2" ht="13" x14ac:dyDescent="0.15">
      <c r="A913" s="3"/>
      <c r="B913" s="3"/>
    </row>
    <row r="914" spans="1:2" ht="13" x14ac:dyDescent="0.15">
      <c r="A914" s="3"/>
      <c r="B914" s="3"/>
    </row>
    <row r="915" spans="1:2" ht="13" x14ac:dyDescent="0.15">
      <c r="A915" s="3"/>
      <c r="B915" s="3"/>
    </row>
    <row r="916" spans="1:2" ht="13" x14ac:dyDescent="0.15">
      <c r="A916" s="3"/>
      <c r="B916" s="3"/>
    </row>
    <row r="917" spans="1:2" ht="13" x14ac:dyDescent="0.15">
      <c r="A917" s="3"/>
      <c r="B917" s="3"/>
    </row>
    <row r="918" spans="1:2" ht="13" x14ac:dyDescent="0.15">
      <c r="A918" s="3"/>
      <c r="B918" s="3"/>
    </row>
    <row r="919" spans="1:2" ht="13" x14ac:dyDescent="0.15">
      <c r="A919" s="3"/>
      <c r="B919" s="3"/>
    </row>
    <row r="920" spans="1:2" ht="13" x14ac:dyDescent="0.15">
      <c r="A920" s="3"/>
      <c r="B920" s="3"/>
    </row>
    <row r="921" spans="1:2" ht="13" x14ac:dyDescent="0.15">
      <c r="A921" s="3"/>
      <c r="B921" s="3"/>
    </row>
    <row r="922" spans="1:2" ht="13" x14ac:dyDescent="0.15">
      <c r="A922" s="3"/>
      <c r="B922" s="3"/>
    </row>
    <row r="923" spans="1:2" ht="13" x14ac:dyDescent="0.15">
      <c r="A923" s="3"/>
      <c r="B923" s="3"/>
    </row>
    <row r="924" spans="1:2" ht="13" x14ac:dyDescent="0.15">
      <c r="A924" s="3"/>
      <c r="B924" s="3"/>
    </row>
    <row r="925" spans="1:2" ht="13" x14ac:dyDescent="0.15">
      <c r="A925" s="3"/>
      <c r="B925" s="3"/>
    </row>
    <row r="926" spans="1:2" ht="13" x14ac:dyDescent="0.15">
      <c r="A926" s="3"/>
      <c r="B926" s="3"/>
    </row>
    <row r="927" spans="1:2" ht="13" x14ac:dyDescent="0.15">
      <c r="A927" s="3"/>
      <c r="B927" s="3"/>
    </row>
    <row r="928" spans="1:2" ht="13" x14ac:dyDescent="0.15">
      <c r="A928" s="3"/>
      <c r="B928" s="3"/>
    </row>
    <row r="929" spans="1:2" ht="13" x14ac:dyDescent="0.15">
      <c r="A929" s="3"/>
      <c r="B929" s="3"/>
    </row>
    <row r="930" spans="1:2" ht="13" x14ac:dyDescent="0.15">
      <c r="A930" s="3"/>
      <c r="B930" s="3"/>
    </row>
    <row r="931" spans="1:2" ht="13" x14ac:dyDescent="0.15">
      <c r="A931" s="3"/>
      <c r="B931" s="3"/>
    </row>
    <row r="932" spans="1:2" ht="13" x14ac:dyDescent="0.15">
      <c r="A932" s="3"/>
      <c r="B932" s="3"/>
    </row>
    <row r="933" spans="1:2" ht="13" x14ac:dyDescent="0.15">
      <c r="A933" s="3"/>
      <c r="B933" s="3"/>
    </row>
    <row r="934" spans="1:2" ht="13" x14ac:dyDescent="0.15">
      <c r="A934" s="3"/>
      <c r="B934" s="3"/>
    </row>
    <row r="935" spans="1:2" ht="13" x14ac:dyDescent="0.15">
      <c r="A935" s="3"/>
      <c r="B935" s="3"/>
    </row>
    <row r="936" spans="1:2" ht="13" x14ac:dyDescent="0.15">
      <c r="A936" s="3"/>
      <c r="B936" s="3"/>
    </row>
    <row r="937" spans="1:2" ht="13" x14ac:dyDescent="0.15">
      <c r="A937" s="3"/>
      <c r="B937" s="3"/>
    </row>
    <row r="938" spans="1:2" ht="13" x14ac:dyDescent="0.15">
      <c r="A938" s="3"/>
      <c r="B938" s="3"/>
    </row>
    <row r="939" spans="1:2" ht="13" x14ac:dyDescent="0.15">
      <c r="A939" s="3"/>
      <c r="B939" s="3"/>
    </row>
    <row r="940" spans="1:2" ht="13" x14ac:dyDescent="0.15">
      <c r="A940" s="3"/>
      <c r="B940" s="3"/>
    </row>
    <row r="941" spans="1:2" ht="13" x14ac:dyDescent="0.15">
      <c r="A941" s="3"/>
      <c r="B941" s="3"/>
    </row>
    <row r="942" spans="1:2" ht="13" x14ac:dyDescent="0.15">
      <c r="A942" s="3"/>
      <c r="B942" s="3"/>
    </row>
    <row r="943" spans="1:2" ht="13" x14ac:dyDescent="0.15">
      <c r="A943" s="3"/>
      <c r="B943" s="3"/>
    </row>
    <row r="944" spans="1:2" ht="13" x14ac:dyDescent="0.15">
      <c r="A944" s="3"/>
      <c r="B944" s="3"/>
    </row>
    <row r="945" spans="1:2" ht="13" x14ac:dyDescent="0.15">
      <c r="A945" s="3"/>
      <c r="B945" s="3"/>
    </row>
    <row r="946" spans="1:2" ht="13" x14ac:dyDescent="0.15">
      <c r="A946" s="3"/>
      <c r="B946" s="3"/>
    </row>
    <row r="947" spans="1:2" ht="13" x14ac:dyDescent="0.15">
      <c r="A947" s="3"/>
      <c r="B947" s="3"/>
    </row>
    <row r="948" spans="1:2" ht="13" x14ac:dyDescent="0.15">
      <c r="A948" s="3"/>
      <c r="B948" s="3"/>
    </row>
    <row r="949" spans="1:2" ht="13" x14ac:dyDescent="0.15">
      <c r="A949" s="3"/>
      <c r="B949" s="3"/>
    </row>
    <row r="950" spans="1:2" ht="13" x14ac:dyDescent="0.15">
      <c r="A950" s="3"/>
      <c r="B950" s="3"/>
    </row>
    <row r="951" spans="1:2" ht="13" x14ac:dyDescent="0.15">
      <c r="A951" s="3"/>
      <c r="B951" s="3"/>
    </row>
    <row r="952" spans="1:2" ht="13" x14ac:dyDescent="0.15">
      <c r="A952" s="3"/>
      <c r="B952" s="3"/>
    </row>
    <row r="953" spans="1:2" ht="13" x14ac:dyDescent="0.15">
      <c r="A953" s="3"/>
      <c r="B953" s="3"/>
    </row>
    <row r="954" spans="1:2" ht="13" x14ac:dyDescent="0.15">
      <c r="A954" s="3"/>
      <c r="B954" s="3"/>
    </row>
    <row r="955" spans="1:2" ht="13" x14ac:dyDescent="0.15">
      <c r="A955" s="3"/>
      <c r="B955" s="3"/>
    </row>
    <row r="956" spans="1:2" ht="13" x14ac:dyDescent="0.15">
      <c r="A956" s="3"/>
      <c r="B956" s="3"/>
    </row>
    <row r="957" spans="1:2" ht="13" x14ac:dyDescent="0.15">
      <c r="A957" s="3"/>
      <c r="B957" s="3"/>
    </row>
    <row r="958" spans="1:2" ht="13" x14ac:dyDescent="0.15">
      <c r="A958" s="3"/>
      <c r="B958" s="3"/>
    </row>
    <row r="959" spans="1:2" ht="13" x14ac:dyDescent="0.15">
      <c r="A959" s="3"/>
      <c r="B959" s="3"/>
    </row>
    <row r="960" spans="1:2" ht="13" x14ac:dyDescent="0.15">
      <c r="A960" s="3"/>
      <c r="B960" s="3"/>
    </row>
    <row r="961" spans="1:2" ht="13" x14ac:dyDescent="0.15">
      <c r="A961" s="3"/>
      <c r="B961" s="3"/>
    </row>
    <row r="962" spans="1:2" ht="13" x14ac:dyDescent="0.15">
      <c r="A962" s="3"/>
      <c r="B962" s="3"/>
    </row>
    <row r="963" spans="1:2" ht="13" x14ac:dyDescent="0.15">
      <c r="A963" s="3"/>
      <c r="B963" s="3"/>
    </row>
    <row r="964" spans="1:2" ht="13" x14ac:dyDescent="0.15">
      <c r="A964" s="3"/>
      <c r="B964" s="3"/>
    </row>
    <row r="965" spans="1:2" ht="13" x14ac:dyDescent="0.15">
      <c r="A965" s="3"/>
      <c r="B965" s="3"/>
    </row>
    <row r="966" spans="1:2" ht="13" x14ac:dyDescent="0.15">
      <c r="A966" s="3"/>
      <c r="B966" s="3"/>
    </row>
    <row r="967" spans="1:2" ht="13" x14ac:dyDescent="0.15">
      <c r="A967" s="3"/>
      <c r="B967" s="3"/>
    </row>
    <row r="968" spans="1:2" ht="13" x14ac:dyDescent="0.15">
      <c r="A968" s="3"/>
      <c r="B968" s="3"/>
    </row>
    <row r="969" spans="1:2" ht="13" x14ac:dyDescent="0.15">
      <c r="A969" s="3"/>
      <c r="B969" s="3"/>
    </row>
    <row r="970" spans="1:2" ht="13" x14ac:dyDescent="0.15">
      <c r="A970" s="3"/>
      <c r="B970" s="3"/>
    </row>
    <row r="971" spans="1:2" ht="13" x14ac:dyDescent="0.15">
      <c r="A971" s="3"/>
      <c r="B971" s="3"/>
    </row>
    <row r="972" spans="1:2" ht="13" x14ac:dyDescent="0.15">
      <c r="A972" s="3"/>
      <c r="B972" s="3"/>
    </row>
    <row r="973" spans="1:2" ht="13" x14ac:dyDescent="0.15">
      <c r="A973" s="3"/>
      <c r="B973" s="3"/>
    </row>
    <row r="974" spans="1:2" ht="13" x14ac:dyDescent="0.15">
      <c r="A974" s="3"/>
      <c r="B974" s="3"/>
    </row>
    <row r="975" spans="1:2" ht="13" x14ac:dyDescent="0.15">
      <c r="A975" s="3"/>
      <c r="B975" s="3"/>
    </row>
    <row r="976" spans="1:2" ht="13" x14ac:dyDescent="0.15">
      <c r="A976" s="3"/>
      <c r="B976" s="3"/>
    </row>
    <row r="977" spans="1:2" ht="13" x14ac:dyDescent="0.15">
      <c r="A977" s="3"/>
      <c r="B977" s="3"/>
    </row>
    <row r="978" spans="1:2" ht="13" x14ac:dyDescent="0.15">
      <c r="A978" s="3"/>
      <c r="B978" s="3"/>
    </row>
    <row r="979" spans="1:2" ht="13" x14ac:dyDescent="0.15">
      <c r="A979" s="3"/>
      <c r="B979" s="3"/>
    </row>
    <row r="980" spans="1:2" ht="13" x14ac:dyDescent="0.15">
      <c r="A980" s="3"/>
      <c r="B980" s="3"/>
    </row>
    <row r="981" spans="1:2" ht="13" x14ac:dyDescent="0.15">
      <c r="A981" s="3"/>
      <c r="B981" s="3"/>
    </row>
    <row r="982" spans="1:2" ht="13" x14ac:dyDescent="0.15">
      <c r="A982" s="3"/>
      <c r="B982" s="3"/>
    </row>
    <row r="983" spans="1:2" ht="13" x14ac:dyDescent="0.15">
      <c r="A983" s="3"/>
      <c r="B983" s="3"/>
    </row>
  </sheetData>
  <hyperlinks>
    <hyperlink ref="A3"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Entities</vt:lpstr>
      <vt:lpstr>Attributes</vt:lpstr>
      <vt:lpstr>HCP Type Items</vt:lpstr>
      <vt:lpstr>Specialty Items</vt:lpstr>
      <vt:lpstr>Specialty Group Items</vt:lpstr>
      <vt:lpstr>Medical Degree Items</vt:lpstr>
      <vt:lpstr>HCP Status Items</vt:lpstr>
      <vt:lpstr>Level Items</vt:lpstr>
      <vt:lpstr>Adopter Type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2024-05-01T07:59:23Z</dcterms:modified>
</cp:coreProperties>
</file>